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360" yWindow="8860" windowWidth="29820" windowHeight="192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2" i="1" l="1"/>
  <c r="C52" i="1"/>
  <c r="B52" i="1"/>
  <c r="F40" i="1"/>
  <c r="F41" i="1"/>
  <c r="F42" i="1"/>
  <c r="F43" i="1"/>
  <c r="F44" i="1"/>
  <c r="F45" i="1"/>
  <c r="F46" i="1"/>
  <c r="F47" i="1"/>
  <c r="F48" i="1"/>
  <c r="F49" i="1"/>
  <c r="F52" i="1"/>
  <c r="D40" i="1"/>
  <c r="D41" i="1"/>
  <c r="D42" i="1"/>
  <c r="D43" i="1"/>
  <c r="D44" i="1"/>
  <c r="D45" i="1"/>
  <c r="D46" i="1"/>
  <c r="D47" i="1"/>
  <c r="D48" i="1"/>
  <c r="D49" i="1"/>
  <c r="D52" i="1"/>
  <c r="L40" i="1"/>
  <c r="L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I52" i="1"/>
  <c r="C272" i="1"/>
  <c r="E272" i="1"/>
  <c r="H40" i="1"/>
  <c r="H41" i="1"/>
  <c r="H42" i="1"/>
  <c r="H43" i="1"/>
  <c r="H44" i="1"/>
  <c r="H45" i="1"/>
  <c r="H46" i="1"/>
  <c r="H47" i="1"/>
  <c r="H48" i="1"/>
  <c r="H49" i="1"/>
  <c r="H52" i="1"/>
  <c r="C273" i="1"/>
  <c r="A19" i="1"/>
  <c r="D273" i="1"/>
  <c r="E273" i="1"/>
  <c r="F272" i="1"/>
  <c r="D278" i="1"/>
  <c r="C278" i="1"/>
  <c r="E278" i="1"/>
  <c r="D274" i="1"/>
  <c r="E40" i="1"/>
  <c r="E41" i="1"/>
  <c r="E42" i="1"/>
  <c r="E43" i="1"/>
  <c r="E44" i="1"/>
  <c r="E45" i="1"/>
  <c r="E46" i="1"/>
  <c r="E47" i="1"/>
  <c r="E48" i="1"/>
  <c r="E49" i="1"/>
  <c r="E52" i="1"/>
  <c r="C274" i="1"/>
  <c r="M52" i="1"/>
  <c r="L52" i="1"/>
  <c r="C203" i="1"/>
  <c r="C204" i="1"/>
  <c r="C205" i="1"/>
  <c r="L42" i="1"/>
  <c r="E245" i="1"/>
  <c r="D245" i="1"/>
  <c r="F245" i="1"/>
  <c r="G245" i="1"/>
  <c r="E246" i="1"/>
  <c r="D246" i="1"/>
  <c r="F246" i="1"/>
  <c r="G246" i="1"/>
  <c r="E247" i="1"/>
  <c r="D247" i="1"/>
  <c r="F247" i="1"/>
  <c r="G247" i="1"/>
  <c r="E248" i="1"/>
  <c r="D248" i="1"/>
  <c r="F248" i="1"/>
  <c r="G248" i="1"/>
  <c r="E249" i="1"/>
  <c r="D249" i="1"/>
  <c r="F249" i="1"/>
  <c r="G249" i="1"/>
  <c r="E250" i="1"/>
  <c r="D250" i="1"/>
  <c r="F250" i="1"/>
  <c r="G250" i="1"/>
  <c r="E251" i="1"/>
  <c r="D251" i="1"/>
  <c r="F251" i="1"/>
  <c r="G251" i="1"/>
  <c r="E252" i="1"/>
  <c r="D252" i="1"/>
  <c r="F252" i="1"/>
  <c r="G252" i="1"/>
  <c r="E253" i="1"/>
  <c r="D253" i="1"/>
  <c r="F253" i="1"/>
  <c r="G253" i="1"/>
  <c r="E254" i="1"/>
  <c r="D254" i="1"/>
  <c r="F254" i="1"/>
  <c r="G254" i="1"/>
  <c r="E255" i="1"/>
  <c r="D255" i="1"/>
  <c r="F255" i="1"/>
  <c r="G255" i="1"/>
  <c r="E256" i="1"/>
  <c r="D256" i="1"/>
  <c r="F256" i="1"/>
  <c r="G256" i="1"/>
  <c r="E257" i="1"/>
  <c r="D257" i="1"/>
  <c r="F257" i="1"/>
  <c r="G257" i="1"/>
  <c r="E258" i="1"/>
  <c r="D258" i="1"/>
  <c r="F258" i="1"/>
  <c r="G258" i="1"/>
  <c r="E259" i="1"/>
  <c r="D259" i="1"/>
  <c r="F259" i="1"/>
  <c r="G259" i="1"/>
  <c r="E260" i="1"/>
  <c r="D260" i="1"/>
  <c r="F260" i="1"/>
  <c r="G260" i="1"/>
  <c r="E261" i="1"/>
  <c r="D261" i="1"/>
  <c r="F261" i="1"/>
  <c r="G261" i="1"/>
  <c r="E262" i="1"/>
  <c r="D262" i="1"/>
  <c r="F262" i="1"/>
  <c r="G262" i="1"/>
  <c r="E263" i="1"/>
  <c r="D263" i="1"/>
  <c r="F263" i="1"/>
  <c r="G263" i="1"/>
  <c r="E264" i="1"/>
  <c r="D264" i="1"/>
  <c r="F264" i="1"/>
  <c r="G264" i="1"/>
  <c r="E265" i="1"/>
  <c r="D265" i="1"/>
  <c r="F265" i="1"/>
  <c r="G265" i="1"/>
  <c r="E241" i="1"/>
  <c r="D241" i="1"/>
  <c r="F241" i="1"/>
  <c r="G241" i="1"/>
  <c r="E242" i="1"/>
  <c r="D242" i="1"/>
  <c r="F242" i="1"/>
  <c r="G242" i="1"/>
  <c r="E243" i="1"/>
  <c r="D243" i="1"/>
  <c r="F243" i="1"/>
  <c r="G243" i="1"/>
  <c r="E244" i="1"/>
  <c r="D244" i="1"/>
  <c r="C150" i="1"/>
  <c r="C151" i="1"/>
  <c r="C152" i="1"/>
  <c r="G244" i="1"/>
  <c r="F244" i="1"/>
  <c r="B19" i="1"/>
  <c r="C19" i="1"/>
  <c r="E189" i="1"/>
  <c r="D189" i="1"/>
  <c r="F189" i="1"/>
  <c r="G189" i="1"/>
  <c r="E190" i="1"/>
  <c r="D190" i="1"/>
  <c r="F190" i="1"/>
  <c r="G190" i="1"/>
  <c r="E191" i="1"/>
  <c r="D191" i="1"/>
  <c r="F191" i="1"/>
  <c r="G191" i="1"/>
  <c r="E192" i="1"/>
  <c r="D192" i="1"/>
  <c r="F192" i="1"/>
  <c r="G192" i="1"/>
  <c r="E193" i="1"/>
  <c r="D193" i="1"/>
  <c r="F193" i="1"/>
  <c r="G193" i="1"/>
  <c r="E194" i="1"/>
  <c r="D194" i="1"/>
  <c r="F194" i="1"/>
  <c r="G194" i="1"/>
  <c r="E195" i="1"/>
  <c r="D195" i="1"/>
  <c r="F195" i="1"/>
  <c r="G195" i="1"/>
  <c r="E196" i="1"/>
  <c r="D196" i="1"/>
  <c r="F196" i="1"/>
  <c r="G196" i="1"/>
  <c r="E197" i="1"/>
  <c r="D197" i="1"/>
  <c r="F197" i="1"/>
  <c r="G197" i="1"/>
  <c r="E188" i="1"/>
  <c r="D188" i="1"/>
  <c r="G188" i="1"/>
  <c r="F188" i="1"/>
  <c r="C99" i="1"/>
  <c r="C98" i="1"/>
  <c r="C100" i="1"/>
  <c r="H97" i="1"/>
  <c r="F97" i="1"/>
  <c r="L97" i="1"/>
  <c r="H98" i="1"/>
  <c r="F98" i="1"/>
  <c r="L98" i="1"/>
  <c r="K97" i="1"/>
  <c r="K98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F136" i="1"/>
  <c r="E136" i="1"/>
  <c r="D145" i="1"/>
  <c r="D144" i="1"/>
  <c r="D143" i="1"/>
  <c r="D142" i="1"/>
  <c r="D141" i="1"/>
  <c r="D140" i="1"/>
  <c r="D139" i="1"/>
  <c r="D138" i="1"/>
  <c r="D137" i="1"/>
  <c r="D136" i="1"/>
  <c r="J52" i="1"/>
</calcChain>
</file>

<file path=xl/sharedStrings.xml><?xml version="1.0" encoding="utf-8"?>
<sst xmlns="http://schemas.openxmlformats.org/spreadsheetml/2006/main" count="86" uniqueCount="52">
  <si>
    <t>Rendement</t>
  </si>
  <si>
    <t>Température</t>
  </si>
  <si>
    <t>observations</t>
  </si>
  <si>
    <t>beta_0</t>
  </si>
  <si>
    <t>beta_1</t>
  </si>
  <si>
    <t>X_bar</t>
  </si>
  <si>
    <t>Y_bar</t>
  </si>
  <si>
    <t>n</t>
  </si>
  <si>
    <t>(Xi-X_bar)^2</t>
  </si>
  <si>
    <t>S_XX</t>
  </si>
  <si>
    <t>(Xi-X_bar)(Y_i-Y_bar)</t>
  </si>
  <si>
    <t>S_XY</t>
  </si>
  <si>
    <t>droite de régression</t>
  </si>
  <si>
    <t>SS_E</t>
  </si>
  <si>
    <t>Ei=(Yi-hat_Yi)^2</t>
  </si>
  <si>
    <t>Rend. par régr. hat_Yi</t>
  </si>
  <si>
    <t>SS_R</t>
  </si>
  <si>
    <t>(hat_Yi-bar_Y)^2</t>
  </si>
  <si>
    <t>(Yi-Ybar)^2</t>
  </si>
  <si>
    <t>S_YY</t>
  </si>
  <si>
    <t>SS_E+SS_R</t>
  </si>
  <si>
    <t>MS_E ~ sigma^2</t>
  </si>
  <si>
    <t>alpha</t>
  </si>
  <si>
    <t>alpha/2</t>
  </si>
  <si>
    <t>n-2</t>
  </si>
  <si>
    <t>t_alpha/2;n-2</t>
  </si>
  <si>
    <t>+/-</t>
  </si>
  <si>
    <t>beta_0 in</t>
  </si>
  <si>
    <t>beta_0 =</t>
  </si>
  <si>
    <t>beta_1 =</t>
  </si>
  <si>
    <t>beta_1 in</t>
  </si>
  <si>
    <t>sous-approx.</t>
  </si>
  <si>
    <t>sur-approx.</t>
  </si>
  <si>
    <t>Intervalles de confiance sur beta_0 et beta_1</t>
  </si>
  <si>
    <t>Régression</t>
  </si>
  <si>
    <t>Intervalles de confiance pour la droite de régression</t>
  </si>
  <si>
    <t>Données</t>
  </si>
  <si>
    <t>Intervalles de prévision</t>
  </si>
  <si>
    <t>R</t>
  </si>
  <si>
    <t>r</t>
  </si>
  <si>
    <t>tableau d'analyse de la variance</t>
  </si>
  <si>
    <t>Source de variation</t>
  </si>
  <si>
    <t>régression</t>
  </si>
  <si>
    <t>résidus</t>
  </si>
  <si>
    <t>total</t>
  </si>
  <si>
    <t>somme des carrés</t>
  </si>
  <si>
    <t>nombre de d.d.l.</t>
  </si>
  <si>
    <t>moyenne des carrés</t>
  </si>
  <si>
    <t>F_0</t>
  </si>
  <si>
    <t>(on rejette H0 si alpha &gt; P-value)</t>
  </si>
  <si>
    <t>F0</t>
  </si>
  <si>
    <r>
      <t xml:space="preserve">P-value=P[F_1_1_n-2 </t>
    </r>
    <r>
      <rPr>
        <u/>
        <sz val="12"/>
        <color theme="1"/>
        <rFont val="Calibri"/>
        <scheme val="minor"/>
      </rPr>
      <t>&gt;</t>
    </r>
    <r>
      <rPr>
        <sz val="12"/>
        <color theme="1"/>
        <rFont val="Calibri"/>
        <family val="2"/>
        <scheme val="minor"/>
      </rPr>
      <t xml:space="preserve"> F0]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</si>
</sst>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000000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1" fillId="0" borderId="13" xfId="0" applyFont="1" applyBorder="1"/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/>
    <xf numFmtId="0" fontId="0" fillId="0" borderId="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/>
    <xf numFmtId="0" fontId="0" fillId="0" borderId="26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0" fontId="1" fillId="0" borderId="33" xfId="0" applyFont="1" applyBorder="1"/>
    <xf numFmtId="0" fontId="1" fillId="0" borderId="34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2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1" xfId="0" applyFont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16" xfId="0" applyFont="1" applyFill="1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4" xfId="0" applyBorder="1" applyAlignment="1">
      <alignment horizontal="right"/>
    </xf>
    <xf numFmtId="0" fontId="0" fillId="0" borderId="21" xfId="0" applyBorder="1"/>
    <xf numFmtId="0" fontId="0" fillId="0" borderId="21" xfId="0" quotePrefix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24" xfId="0" applyBorder="1"/>
    <xf numFmtId="0" fontId="0" fillId="0" borderId="24" xfId="0" quotePrefix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2" fontId="0" fillId="0" borderId="9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164" fontId="1" fillId="0" borderId="43" xfId="0" applyNumberFormat="1" applyFont="1" applyBorder="1" applyAlignment="1">
      <alignment horizontal="right"/>
    </xf>
    <xf numFmtId="164" fontId="1" fillId="0" borderId="44" xfId="0" applyNumberFormat="1" applyFont="1" applyBorder="1" applyAlignment="1">
      <alignment horizontal="right"/>
    </xf>
    <xf numFmtId="164" fontId="1" fillId="0" borderId="42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45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39" xfId="0" applyFont="1" applyFill="1" applyBorder="1" applyAlignment="1">
      <alignment horizontal="right"/>
    </xf>
    <xf numFmtId="0" fontId="1" fillId="0" borderId="40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1" fillId="0" borderId="44" xfId="0" applyFont="1" applyBorder="1" applyAlignment="1">
      <alignment horizontal="right"/>
    </xf>
    <xf numFmtId="0" fontId="1" fillId="0" borderId="45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164" fontId="0" fillId="0" borderId="13" xfId="0" applyNumberFormat="1" applyBorder="1" applyAlignment="1">
      <alignment horizontal="center"/>
    </xf>
    <xf numFmtId="164" fontId="1" fillId="0" borderId="35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42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4" fontId="0" fillId="0" borderId="47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0" xfId="0" applyNumberFormat="1"/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7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données</c:v>
          </c:tx>
          <c:spPr>
            <a:ln w="47625">
              <a:noFill/>
            </a:ln>
          </c:spPr>
          <c:marker>
            <c:symbol val="circle"/>
            <c:size val="9"/>
            <c:spPr>
              <a:ln w="19050" cmpd="sng">
                <a:solidFill>
                  <a:schemeClr val="tx1"/>
                </a:solidFill>
              </a:ln>
            </c:spPr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Feuil1!$C$40:$C$49</c:f>
              <c:numCache>
                <c:formatCode>General</c:formatCode>
                <c:ptCount val="10"/>
                <c:pt idx="0">
                  <c:v>45.0</c:v>
                </c:pt>
                <c:pt idx="1">
                  <c:v>51.0</c:v>
                </c:pt>
                <c:pt idx="2">
                  <c:v>54.0</c:v>
                </c:pt>
                <c:pt idx="3">
                  <c:v>61.0</c:v>
                </c:pt>
                <c:pt idx="4">
                  <c:v>66.0</c:v>
                </c:pt>
                <c:pt idx="5">
                  <c:v>70.0</c:v>
                </c:pt>
                <c:pt idx="6">
                  <c:v>74.0</c:v>
                </c:pt>
                <c:pt idx="7">
                  <c:v>78.0</c:v>
                </c:pt>
                <c:pt idx="8">
                  <c:v>85.0</c:v>
                </c:pt>
                <c:pt idx="9">
                  <c:v>89.0</c:v>
                </c:pt>
              </c:numCache>
            </c:numRef>
          </c:yVal>
          <c:smooth val="0"/>
        </c:ser>
        <c:ser>
          <c:idx val="1"/>
          <c:order val="1"/>
          <c:tx>
            <c:v>droite de régression</c:v>
          </c:tx>
          <c:spPr>
            <a:ln w="28575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Feuil1!$G$40:$G$49</c:f>
              <c:numCache>
                <c:formatCode>General</c:formatCode>
                <c:ptCount val="10"/>
                <c:pt idx="0">
                  <c:v>45.56363636363636</c:v>
                </c:pt>
                <c:pt idx="1">
                  <c:v>50.39393939393938</c:v>
                </c:pt>
                <c:pt idx="2">
                  <c:v>55.22424242424241</c:v>
                </c:pt>
                <c:pt idx="3">
                  <c:v>60.05454545454545</c:v>
                </c:pt>
                <c:pt idx="4">
                  <c:v>64.88484848484847</c:v>
                </c:pt>
                <c:pt idx="5">
                  <c:v>69.7151515151515</c:v>
                </c:pt>
                <c:pt idx="6">
                  <c:v>74.54545454545453</c:v>
                </c:pt>
                <c:pt idx="7">
                  <c:v>79.37575757575756</c:v>
                </c:pt>
                <c:pt idx="8">
                  <c:v>84.2060606060606</c:v>
                </c:pt>
                <c:pt idx="9">
                  <c:v>89.03636363636363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368168"/>
        <c:axId val="607371160"/>
      </c:scatterChart>
      <c:valAx>
        <c:axId val="607368168"/>
        <c:scaling>
          <c:orientation val="minMax"/>
          <c:max val="200.0"/>
          <c:min val="9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607371160"/>
        <c:crosses val="autoZero"/>
        <c:crossBetween val="midCat"/>
      </c:valAx>
      <c:valAx>
        <c:axId val="607371160"/>
        <c:scaling>
          <c:orientation val="minMax"/>
          <c:max val="90.0"/>
          <c:min val="40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607368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données</c:v>
          </c:tx>
          <c:spPr>
            <a:ln w="47625">
              <a:noFill/>
            </a:ln>
          </c:spPr>
          <c:marker>
            <c:symbol val="circle"/>
            <c:size val="9"/>
            <c:spPr>
              <a:ln w="19050" cmpd="sng">
                <a:solidFill>
                  <a:schemeClr val="tx1"/>
                </a:solidFill>
              </a:ln>
            </c:spPr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Feuil1!$C$40:$C$49</c:f>
              <c:numCache>
                <c:formatCode>General</c:formatCode>
                <c:ptCount val="10"/>
                <c:pt idx="0">
                  <c:v>45.0</c:v>
                </c:pt>
                <c:pt idx="1">
                  <c:v>51.0</c:v>
                </c:pt>
                <c:pt idx="2">
                  <c:v>54.0</c:v>
                </c:pt>
                <c:pt idx="3">
                  <c:v>61.0</c:v>
                </c:pt>
                <c:pt idx="4">
                  <c:v>66.0</c:v>
                </c:pt>
                <c:pt idx="5">
                  <c:v>70.0</c:v>
                </c:pt>
                <c:pt idx="6">
                  <c:v>74.0</c:v>
                </c:pt>
                <c:pt idx="7">
                  <c:v>78.0</c:v>
                </c:pt>
                <c:pt idx="8">
                  <c:v>85.0</c:v>
                </c:pt>
                <c:pt idx="9">
                  <c:v>89.0</c:v>
                </c:pt>
              </c:numCache>
            </c:numRef>
          </c:yVal>
          <c:smooth val="0"/>
        </c:ser>
        <c:ser>
          <c:idx val="1"/>
          <c:order val="1"/>
          <c:tx>
            <c:v>droite de régression</c:v>
          </c:tx>
          <c:spPr>
            <a:ln w="28575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Feuil1!$G$40:$G$49</c:f>
              <c:numCache>
                <c:formatCode>General</c:formatCode>
                <c:ptCount val="10"/>
                <c:pt idx="0">
                  <c:v>45.56363636363636</c:v>
                </c:pt>
                <c:pt idx="1">
                  <c:v>50.39393939393938</c:v>
                </c:pt>
                <c:pt idx="2">
                  <c:v>55.22424242424241</c:v>
                </c:pt>
                <c:pt idx="3">
                  <c:v>60.05454545454545</c:v>
                </c:pt>
                <c:pt idx="4">
                  <c:v>64.88484848484847</c:v>
                </c:pt>
                <c:pt idx="5">
                  <c:v>69.7151515151515</c:v>
                </c:pt>
                <c:pt idx="6">
                  <c:v>74.54545454545453</c:v>
                </c:pt>
                <c:pt idx="7">
                  <c:v>79.37575757575756</c:v>
                </c:pt>
                <c:pt idx="8">
                  <c:v>84.2060606060606</c:v>
                </c:pt>
                <c:pt idx="9">
                  <c:v>89.03636363636363</c:v>
                </c:pt>
              </c:numCache>
            </c:numRef>
          </c:yVal>
          <c:smooth val="0"/>
        </c:ser>
        <c:ser>
          <c:idx val="2"/>
          <c:order val="2"/>
          <c:tx>
            <c:v>sous-approx.</c:v>
          </c:tx>
          <c:spPr>
            <a:ln w="38100" cmpd="sng">
              <a:solidFill>
                <a:schemeClr val="accent6"/>
              </a:solidFill>
              <a:prstDash val="dashDot"/>
            </a:ln>
          </c:spPr>
          <c:marker>
            <c:symbol val="none"/>
          </c:marker>
          <c:xVal>
            <c:numRef>
              <c:f>Feuil1!$B$136:$B$145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Feuil1!$E$136:$E$145</c:f>
              <c:numCache>
                <c:formatCode>General</c:formatCode>
                <c:ptCount val="10"/>
                <c:pt idx="0">
                  <c:v>39.58480695349257</c:v>
                </c:pt>
                <c:pt idx="1">
                  <c:v>44.17385056926557</c:v>
                </c:pt>
                <c:pt idx="2">
                  <c:v>48.76289418503856</c:v>
                </c:pt>
                <c:pt idx="3">
                  <c:v>53.35193780081156</c:v>
                </c:pt>
                <c:pt idx="4">
                  <c:v>57.94098141658456</c:v>
                </c:pt>
                <c:pt idx="5">
                  <c:v>62.53002503235756</c:v>
                </c:pt>
                <c:pt idx="6">
                  <c:v>67.11906864813056</c:v>
                </c:pt>
                <c:pt idx="7">
                  <c:v>71.70811226390355</c:v>
                </c:pt>
                <c:pt idx="8">
                  <c:v>76.29715587967655</c:v>
                </c:pt>
                <c:pt idx="9">
                  <c:v>80.88619949544955</c:v>
                </c:pt>
              </c:numCache>
            </c:numRef>
          </c:yVal>
          <c:smooth val="0"/>
        </c:ser>
        <c:ser>
          <c:idx val="3"/>
          <c:order val="3"/>
          <c:tx>
            <c:v>sur-approx.</c:v>
          </c:tx>
          <c:spPr>
            <a:ln w="38100" cmpd="sng">
              <a:solidFill>
                <a:schemeClr val="accent6"/>
              </a:solidFill>
              <a:prstDash val="dashDot"/>
            </a:ln>
          </c:spPr>
          <c:marker>
            <c:symbol val="none"/>
          </c:marker>
          <c:xVal>
            <c:numRef>
              <c:f>Feuil1!$B$136:$B$145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Feuil1!$F$136:$F$145</c:f>
              <c:numCache>
                <c:formatCode>General</c:formatCode>
                <c:ptCount val="10"/>
                <c:pt idx="0">
                  <c:v>51.54246577378014</c:v>
                </c:pt>
                <c:pt idx="1">
                  <c:v>56.61402821861321</c:v>
                </c:pt>
                <c:pt idx="2">
                  <c:v>61.68559066344626</c:v>
                </c:pt>
                <c:pt idx="3">
                  <c:v>66.75715310827932</c:v>
                </c:pt>
                <c:pt idx="4">
                  <c:v>71.82871555311239</c:v>
                </c:pt>
                <c:pt idx="5">
                  <c:v>76.90027799794545</c:v>
                </c:pt>
                <c:pt idx="6">
                  <c:v>81.97184044277851</c:v>
                </c:pt>
                <c:pt idx="7">
                  <c:v>87.04340288761158</c:v>
                </c:pt>
                <c:pt idx="8">
                  <c:v>92.11496533244464</c:v>
                </c:pt>
                <c:pt idx="9">
                  <c:v>97.1865277772777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411240"/>
        <c:axId val="607414376"/>
      </c:scatterChart>
      <c:valAx>
        <c:axId val="607411240"/>
        <c:scaling>
          <c:orientation val="minMax"/>
          <c:max val="200.0"/>
          <c:min val="9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607414376"/>
        <c:crosses val="autoZero"/>
        <c:crossBetween val="midCat"/>
      </c:valAx>
      <c:valAx>
        <c:axId val="607414376"/>
        <c:scaling>
          <c:orientation val="minMax"/>
          <c:max val="100.0"/>
          <c:min val="35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607411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données</c:v>
          </c:tx>
          <c:spPr>
            <a:ln w="47625">
              <a:noFill/>
            </a:ln>
          </c:spPr>
          <c:marker>
            <c:symbol val="circle"/>
            <c:size val="9"/>
            <c:spPr>
              <a:ln w="19050" cmpd="sng">
                <a:solidFill>
                  <a:schemeClr val="tx1"/>
                </a:solidFill>
              </a:ln>
            </c:spPr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Feuil1!$C$40:$C$49</c:f>
              <c:numCache>
                <c:formatCode>General</c:formatCode>
                <c:ptCount val="10"/>
                <c:pt idx="0">
                  <c:v>45.0</c:v>
                </c:pt>
                <c:pt idx="1">
                  <c:v>51.0</c:v>
                </c:pt>
                <c:pt idx="2">
                  <c:v>54.0</c:v>
                </c:pt>
                <c:pt idx="3">
                  <c:v>61.0</c:v>
                </c:pt>
                <c:pt idx="4">
                  <c:v>66.0</c:v>
                </c:pt>
                <c:pt idx="5">
                  <c:v>70.0</c:v>
                </c:pt>
                <c:pt idx="6">
                  <c:v>74.0</c:v>
                </c:pt>
                <c:pt idx="7">
                  <c:v>78.0</c:v>
                </c:pt>
                <c:pt idx="8">
                  <c:v>85.0</c:v>
                </c:pt>
                <c:pt idx="9">
                  <c:v>89.0</c:v>
                </c:pt>
              </c:numCache>
            </c:numRef>
          </c:yVal>
          <c:smooth val="0"/>
        </c:ser>
        <c:ser>
          <c:idx val="1"/>
          <c:order val="1"/>
          <c:tx>
            <c:v>droite de régression</c:v>
          </c:tx>
          <c:spPr>
            <a:ln w="28575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Feuil1!$G$40:$G$49</c:f>
              <c:numCache>
                <c:formatCode>General</c:formatCode>
                <c:ptCount val="10"/>
                <c:pt idx="0">
                  <c:v>45.56363636363636</c:v>
                </c:pt>
                <c:pt idx="1">
                  <c:v>50.39393939393938</c:v>
                </c:pt>
                <c:pt idx="2">
                  <c:v>55.22424242424241</c:v>
                </c:pt>
                <c:pt idx="3">
                  <c:v>60.05454545454545</c:v>
                </c:pt>
                <c:pt idx="4">
                  <c:v>64.88484848484847</c:v>
                </c:pt>
                <c:pt idx="5">
                  <c:v>69.7151515151515</c:v>
                </c:pt>
                <c:pt idx="6">
                  <c:v>74.54545454545453</c:v>
                </c:pt>
                <c:pt idx="7">
                  <c:v>79.37575757575756</c:v>
                </c:pt>
                <c:pt idx="8">
                  <c:v>84.2060606060606</c:v>
                </c:pt>
                <c:pt idx="9">
                  <c:v>89.03636363636363</c:v>
                </c:pt>
              </c:numCache>
            </c:numRef>
          </c:yVal>
          <c:smooth val="0"/>
        </c:ser>
        <c:ser>
          <c:idx val="2"/>
          <c:order val="2"/>
          <c:tx>
            <c:v>sous-approx.</c:v>
          </c:tx>
          <c:spPr>
            <a:ln w="28575" cmpd="sng">
              <a:solidFill>
                <a:schemeClr val="accent6"/>
              </a:solidFill>
              <a:prstDash val="lgDash"/>
            </a:ln>
          </c:spPr>
          <c:marker>
            <c:symbol val="none"/>
          </c:marker>
          <c:xVal>
            <c:numRef>
              <c:f>Feuil1!$B$188:$B$197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Feuil1!$F$188:$F$197</c:f>
              <c:numCache>
                <c:formatCode>0.0000</c:formatCode>
                <c:ptCount val="10"/>
                <c:pt idx="0">
                  <c:v>44.27566353964815</c:v>
                </c:pt>
                <c:pt idx="1">
                  <c:v>49.30159093555389</c:v>
                </c:pt>
                <c:pt idx="2">
                  <c:v>54.30555394388526</c:v>
                </c:pt>
                <c:pt idx="3">
                  <c:v>59.27277560123603</c:v>
                </c:pt>
                <c:pt idx="4">
                  <c:v>64.18146246469689</c:v>
                </c:pt>
                <c:pt idx="5">
                  <c:v>69.01176549499992</c:v>
                </c:pt>
                <c:pt idx="6">
                  <c:v>73.7636846921451</c:v>
                </c:pt>
                <c:pt idx="7">
                  <c:v>78.4570690954004</c:v>
                </c:pt>
                <c:pt idx="8">
                  <c:v>83.11371214767512</c:v>
                </c:pt>
                <c:pt idx="9">
                  <c:v>87.74839081237543</c:v>
                </c:pt>
              </c:numCache>
            </c:numRef>
          </c:yVal>
          <c:smooth val="1"/>
        </c:ser>
        <c:ser>
          <c:idx val="3"/>
          <c:order val="3"/>
          <c:tx>
            <c:v>sur-approx.</c:v>
          </c:tx>
          <c:spPr>
            <a:ln w="28575" cap="rnd" cmpd="sng">
              <a:solidFill>
                <a:schemeClr val="accent6"/>
              </a:solidFill>
              <a:prstDash val="lgDash"/>
              <a:round/>
            </a:ln>
          </c:spPr>
          <c:marker>
            <c:symbol val="none"/>
          </c:marker>
          <c:xVal>
            <c:numRef>
              <c:f>Feuil1!$B$188:$B$197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Feuil1!$G$188:$G$197</c:f>
              <c:numCache>
                <c:formatCode>0.0000</c:formatCode>
                <c:ptCount val="10"/>
                <c:pt idx="0">
                  <c:v>46.85160918762456</c:v>
                </c:pt>
                <c:pt idx="1">
                  <c:v>51.48628785232488</c:v>
                </c:pt>
                <c:pt idx="2">
                  <c:v>56.14293090459955</c:v>
                </c:pt>
                <c:pt idx="3">
                  <c:v>60.83631530785486</c:v>
                </c:pt>
                <c:pt idx="4">
                  <c:v>65.58823450500005</c:v>
                </c:pt>
                <c:pt idx="5">
                  <c:v>70.41853753530308</c:v>
                </c:pt>
                <c:pt idx="6">
                  <c:v>75.32722439876394</c:v>
                </c:pt>
                <c:pt idx="7">
                  <c:v>80.29444605611471</c:v>
                </c:pt>
                <c:pt idx="8">
                  <c:v>85.2984090644461</c:v>
                </c:pt>
                <c:pt idx="9">
                  <c:v>90.32433646035183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451352"/>
        <c:axId val="607454552"/>
      </c:scatterChart>
      <c:valAx>
        <c:axId val="607451352"/>
        <c:scaling>
          <c:orientation val="minMax"/>
          <c:max val="195.0"/>
          <c:min val="95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607454552"/>
        <c:crosses val="autoZero"/>
        <c:crossBetween val="midCat"/>
      </c:valAx>
      <c:valAx>
        <c:axId val="607454552"/>
        <c:scaling>
          <c:orientation val="minMax"/>
          <c:max val="91.0"/>
          <c:min val="44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607451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rendement</a:t>
            </a:r>
            <a:r>
              <a:rPr lang="fr-FR" baseline="0"/>
              <a:t> vs température</a:t>
            </a:r>
            <a:endParaRPr lang="fr-FR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données</c:v>
          </c:tx>
          <c:spPr>
            <a:ln w="47625">
              <a:noFill/>
            </a:ln>
          </c:spPr>
          <c:marker>
            <c:symbol val="circle"/>
            <c:size val="9"/>
            <c:spPr>
              <a:ln w="19050" cmpd="sng">
                <a:solidFill>
                  <a:schemeClr val="tx1"/>
                </a:solidFill>
              </a:ln>
            </c:spPr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Feuil1!$C$40:$C$49</c:f>
              <c:numCache>
                <c:formatCode>General</c:formatCode>
                <c:ptCount val="10"/>
                <c:pt idx="0">
                  <c:v>45.0</c:v>
                </c:pt>
                <c:pt idx="1">
                  <c:v>51.0</c:v>
                </c:pt>
                <c:pt idx="2">
                  <c:v>54.0</c:v>
                </c:pt>
                <c:pt idx="3">
                  <c:v>61.0</c:v>
                </c:pt>
                <c:pt idx="4">
                  <c:v>66.0</c:v>
                </c:pt>
                <c:pt idx="5">
                  <c:v>70.0</c:v>
                </c:pt>
                <c:pt idx="6">
                  <c:v>74.0</c:v>
                </c:pt>
                <c:pt idx="7">
                  <c:v>78.0</c:v>
                </c:pt>
                <c:pt idx="8">
                  <c:v>85.0</c:v>
                </c:pt>
                <c:pt idx="9">
                  <c:v>89.0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474888"/>
        <c:axId val="607231752"/>
      </c:scatterChart>
      <c:valAx>
        <c:axId val="607474888"/>
        <c:scaling>
          <c:orientation val="minMax"/>
          <c:max val="200.0"/>
          <c:min val="9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607231752"/>
        <c:crosses val="autoZero"/>
        <c:crossBetween val="midCat"/>
      </c:valAx>
      <c:valAx>
        <c:axId val="607231752"/>
        <c:scaling>
          <c:orientation val="minMax"/>
          <c:max val="90.0"/>
          <c:min val="40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607474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données</c:v>
          </c:tx>
          <c:spPr>
            <a:ln w="47625">
              <a:noFill/>
            </a:ln>
          </c:spPr>
          <c:marker>
            <c:symbol val="circle"/>
            <c:size val="9"/>
            <c:spPr>
              <a:ln w="19050" cmpd="sng">
                <a:solidFill>
                  <a:schemeClr val="tx1"/>
                </a:solidFill>
              </a:ln>
            </c:spPr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Feuil1!$C$40:$C$49</c:f>
              <c:numCache>
                <c:formatCode>General</c:formatCode>
                <c:ptCount val="10"/>
                <c:pt idx="0">
                  <c:v>45.0</c:v>
                </c:pt>
                <c:pt idx="1">
                  <c:v>51.0</c:v>
                </c:pt>
                <c:pt idx="2">
                  <c:v>54.0</c:v>
                </c:pt>
                <c:pt idx="3">
                  <c:v>61.0</c:v>
                </c:pt>
                <c:pt idx="4">
                  <c:v>66.0</c:v>
                </c:pt>
                <c:pt idx="5">
                  <c:v>70.0</c:v>
                </c:pt>
                <c:pt idx="6">
                  <c:v>74.0</c:v>
                </c:pt>
                <c:pt idx="7">
                  <c:v>78.0</c:v>
                </c:pt>
                <c:pt idx="8">
                  <c:v>85.0</c:v>
                </c:pt>
                <c:pt idx="9">
                  <c:v>89.0</c:v>
                </c:pt>
              </c:numCache>
            </c:numRef>
          </c:yVal>
          <c:smooth val="0"/>
        </c:ser>
        <c:ser>
          <c:idx val="1"/>
          <c:order val="1"/>
          <c:tx>
            <c:v>droite de régression</c:v>
          </c:tx>
          <c:spPr>
            <a:ln w="28575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Feuil1!$B$40:$B$49</c:f>
              <c:numCache>
                <c:formatCode>General</c:formatCode>
                <c:ptCount val="10"/>
                <c:pt idx="0">
                  <c:v>100.0</c:v>
                </c:pt>
                <c:pt idx="1">
                  <c:v>110.0</c:v>
                </c:pt>
                <c:pt idx="2">
                  <c:v>120.0</c:v>
                </c:pt>
                <c:pt idx="3">
                  <c:v>130.0</c:v>
                </c:pt>
                <c:pt idx="4">
                  <c:v>140.0</c:v>
                </c:pt>
                <c:pt idx="5">
                  <c:v>150.0</c:v>
                </c:pt>
                <c:pt idx="6">
                  <c:v>160.0</c:v>
                </c:pt>
                <c:pt idx="7">
                  <c:v>170.0</c:v>
                </c:pt>
                <c:pt idx="8">
                  <c:v>180.0</c:v>
                </c:pt>
                <c:pt idx="9">
                  <c:v>190.0</c:v>
                </c:pt>
              </c:numCache>
            </c:numRef>
          </c:xVal>
          <c:yVal>
            <c:numRef>
              <c:f>Feuil1!$G$40:$G$49</c:f>
              <c:numCache>
                <c:formatCode>General</c:formatCode>
                <c:ptCount val="10"/>
                <c:pt idx="0">
                  <c:v>45.56363636363636</c:v>
                </c:pt>
                <c:pt idx="1">
                  <c:v>50.39393939393938</c:v>
                </c:pt>
                <c:pt idx="2">
                  <c:v>55.22424242424241</c:v>
                </c:pt>
                <c:pt idx="3">
                  <c:v>60.05454545454545</c:v>
                </c:pt>
                <c:pt idx="4">
                  <c:v>64.88484848484847</c:v>
                </c:pt>
                <c:pt idx="5">
                  <c:v>69.7151515151515</c:v>
                </c:pt>
                <c:pt idx="6">
                  <c:v>74.54545454545453</c:v>
                </c:pt>
                <c:pt idx="7">
                  <c:v>79.37575757575756</c:v>
                </c:pt>
                <c:pt idx="8">
                  <c:v>84.2060606060606</c:v>
                </c:pt>
                <c:pt idx="9">
                  <c:v>89.03636363636363</c:v>
                </c:pt>
              </c:numCache>
            </c:numRef>
          </c:yVal>
          <c:smooth val="0"/>
        </c:ser>
        <c:ser>
          <c:idx val="2"/>
          <c:order val="2"/>
          <c:tx>
            <c:v>sous-approx.</c:v>
          </c:tx>
          <c:spPr>
            <a:ln w="28575" cmpd="sng">
              <a:solidFill>
                <a:schemeClr val="accent6"/>
              </a:solidFill>
              <a:prstDash val="lgDash"/>
            </a:ln>
          </c:spPr>
          <c:marker>
            <c:symbol val="none"/>
          </c:marker>
          <c:xVal>
            <c:numRef>
              <c:f>Feuil1!$B$241:$B$265</c:f>
              <c:numCache>
                <c:formatCode>General</c:formatCode>
                <c:ptCount val="25"/>
                <c:pt idx="0">
                  <c:v>50.0</c:v>
                </c:pt>
                <c:pt idx="1">
                  <c:v>75.0</c:v>
                </c:pt>
                <c:pt idx="2">
                  <c:v>95.0</c:v>
                </c:pt>
                <c:pt idx="3">
                  <c:v>100.0</c:v>
                </c:pt>
                <c:pt idx="4">
                  <c:v>105.0</c:v>
                </c:pt>
                <c:pt idx="5">
                  <c:v>110.0</c:v>
                </c:pt>
                <c:pt idx="6">
                  <c:v>115.0</c:v>
                </c:pt>
                <c:pt idx="7">
                  <c:v>120.0</c:v>
                </c:pt>
                <c:pt idx="8">
                  <c:v>125.0</c:v>
                </c:pt>
                <c:pt idx="9">
                  <c:v>130.0</c:v>
                </c:pt>
                <c:pt idx="10">
                  <c:v>135.0</c:v>
                </c:pt>
                <c:pt idx="11">
                  <c:v>140.0</c:v>
                </c:pt>
                <c:pt idx="12">
                  <c:v>145.0</c:v>
                </c:pt>
                <c:pt idx="13">
                  <c:v>150.0</c:v>
                </c:pt>
                <c:pt idx="14">
                  <c:v>155.0</c:v>
                </c:pt>
                <c:pt idx="15">
                  <c:v>160.0</c:v>
                </c:pt>
                <c:pt idx="16">
                  <c:v>165.0</c:v>
                </c:pt>
                <c:pt idx="17">
                  <c:v>170.0</c:v>
                </c:pt>
                <c:pt idx="18">
                  <c:v>175.0</c:v>
                </c:pt>
                <c:pt idx="19">
                  <c:v>180.0</c:v>
                </c:pt>
                <c:pt idx="20">
                  <c:v>185.0</c:v>
                </c:pt>
                <c:pt idx="21">
                  <c:v>190.0</c:v>
                </c:pt>
                <c:pt idx="22">
                  <c:v>200.0</c:v>
                </c:pt>
                <c:pt idx="23">
                  <c:v>225.0</c:v>
                </c:pt>
                <c:pt idx="24">
                  <c:v>250.0</c:v>
                </c:pt>
              </c:numCache>
            </c:numRef>
          </c:xVal>
          <c:yVal>
            <c:numRef>
              <c:f>Feuil1!$F$241:$F$265</c:f>
              <c:numCache>
                <c:formatCode>0.0000</c:formatCode>
                <c:ptCount val="25"/>
                <c:pt idx="0">
                  <c:v>18.16630775121704</c:v>
                </c:pt>
                <c:pt idx="1">
                  <c:v>30.63580880492999</c:v>
                </c:pt>
                <c:pt idx="2">
                  <c:v>40.55284298851022</c:v>
                </c:pt>
                <c:pt idx="3">
                  <c:v>43.02181070753197</c:v>
                </c:pt>
                <c:pt idx="4">
                  <c:v>45.48609822314316</c:v>
                </c:pt>
                <c:pt idx="5">
                  <c:v>47.94542375681646</c:v>
                </c:pt>
                <c:pt idx="6">
                  <c:v>50.39951439367112</c:v>
                </c:pt>
                <c:pt idx="7">
                  <c:v>52.84811275719155</c:v>
                </c:pt>
                <c:pt idx="8">
                  <c:v>55.29098416719368</c:v>
                </c:pt>
                <c:pt idx="9">
                  <c:v>57.72792391801619</c:v>
                </c:pt>
                <c:pt idx="10">
                  <c:v>60.15876422665411</c:v>
                </c:pt>
                <c:pt idx="11">
                  <c:v>62.58338035253749</c:v>
                </c:pt>
                <c:pt idx="12">
                  <c:v>65.00169539926315</c:v>
                </c:pt>
                <c:pt idx="13">
                  <c:v>67.4136833828405</c:v>
                </c:pt>
                <c:pt idx="14">
                  <c:v>69.81937028726018</c:v>
                </c:pt>
                <c:pt idx="15">
                  <c:v>72.21883300892527</c:v>
                </c:pt>
                <c:pt idx="16">
                  <c:v>74.6121962884058</c:v>
                </c:pt>
                <c:pt idx="17">
                  <c:v>76.9996279087067</c:v>
                </c:pt>
                <c:pt idx="18">
                  <c:v>79.3813325754893</c:v>
                </c:pt>
                <c:pt idx="19">
                  <c:v>81.75754496893767</c:v>
                </c:pt>
                <c:pt idx="20">
                  <c:v>84.1285224655674</c:v>
                </c:pt>
                <c:pt idx="21">
                  <c:v>86.49453798025925</c:v>
                </c:pt>
                <c:pt idx="22">
                  <c:v>91.21281310683631</c:v>
                </c:pt>
                <c:pt idx="23">
                  <c:v>102.9411920347922</c:v>
                </c:pt>
                <c:pt idx="24">
                  <c:v>114.5977392846821</c:v>
                </c:pt>
              </c:numCache>
            </c:numRef>
          </c:yVal>
          <c:smooth val="1"/>
        </c:ser>
        <c:ser>
          <c:idx val="3"/>
          <c:order val="3"/>
          <c:tx>
            <c:v>sur-approx.</c:v>
          </c:tx>
          <c:spPr>
            <a:ln w="28575" cap="rnd" cmpd="sng">
              <a:solidFill>
                <a:schemeClr val="accent6"/>
              </a:solidFill>
              <a:prstDash val="lgDash"/>
              <a:round/>
            </a:ln>
          </c:spPr>
          <c:marker>
            <c:symbol val="none"/>
          </c:marker>
          <c:xVal>
            <c:numRef>
              <c:f>Feuil1!$B$241:$B$265</c:f>
              <c:numCache>
                <c:formatCode>General</c:formatCode>
                <c:ptCount val="25"/>
                <c:pt idx="0">
                  <c:v>50.0</c:v>
                </c:pt>
                <c:pt idx="1">
                  <c:v>75.0</c:v>
                </c:pt>
                <c:pt idx="2">
                  <c:v>95.0</c:v>
                </c:pt>
                <c:pt idx="3">
                  <c:v>100.0</c:v>
                </c:pt>
                <c:pt idx="4">
                  <c:v>105.0</c:v>
                </c:pt>
                <c:pt idx="5">
                  <c:v>110.0</c:v>
                </c:pt>
                <c:pt idx="6">
                  <c:v>115.0</c:v>
                </c:pt>
                <c:pt idx="7">
                  <c:v>120.0</c:v>
                </c:pt>
                <c:pt idx="8">
                  <c:v>125.0</c:v>
                </c:pt>
                <c:pt idx="9">
                  <c:v>130.0</c:v>
                </c:pt>
                <c:pt idx="10">
                  <c:v>135.0</c:v>
                </c:pt>
                <c:pt idx="11">
                  <c:v>140.0</c:v>
                </c:pt>
                <c:pt idx="12">
                  <c:v>145.0</c:v>
                </c:pt>
                <c:pt idx="13">
                  <c:v>150.0</c:v>
                </c:pt>
                <c:pt idx="14">
                  <c:v>155.0</c:v>
                </c:pt>
                <c:pt idx="15">
                  <c:v>160.0</c:v>
                </c:pt>
                <c:pt idx="16">
                  <c:v>165.0</c:v>
                </c:pt>
                <c:pt idx="17">
                  <c:v>170.0</c:v>
                </c:pt>
                <c:pt idx="18">
                  <c:v>175.0</c:v>
                </c:pt>
                <c:pt idx="19">
                  <c:v>180.0</c:v>
                </c:pt>
                <c:pt idx="20">
                  <c:v>185.0</c:v>
                </c:pt>
                <c:pt idx="21">
                  <c:v>190.0</c:v>
                </c:pt>
                <c:pt idx="22">
                  <c:v>200.0</c:v>
                </c:pt>
                <c:pt idx="23">
                  <c:v>225.0</c:v>
                </c:pt>
                <c:pt idx="24">
                  <c:v>250.0</c:v>
                </c:pt>
              </c:numCache>
            </c:numRef>
          </c:xVal>
          <c:yVal>
            <c:numRef>
              <c:f>Feuil1!$G$241:$G$265</c:f>
              <c:numCache>
                <c:formatCode>0.0000</c:formatCode>
                <c:ptCount val="25"/>
                <c:pt idx="0">
                  <c:v>24.65793467302536</c:v>
                </c:pt>
                <c:pt idx="1">
                  <c:v>36.33994877082756</c:v>
                </c:pt>
                <c:pt idx="2">
                  <c:v>45.74412670845946</c:v>
                </c:pt>
                <c:pt idx="3">
                  <c:v>48.10546201974074</c:v>
                </c:pt>
                <c:pt idx="4">
                  <c:v>50.47147753443258</c:v>
                </c:pt>
                <c:pt idx="5">
                  <c:v>52.84245503106231</c:v>
                </c:pt>
                <c:pt idx="6">
                  <c:v>55.21866742451068</c:v>
                </c:pt>
                <c:pt idx="7">
                  <c:v>57.60037209129327</c:v>
                </c:pt>
                <c:pt idx="8">
                  <c:v>59.98780371159419</c:v>
                </c:pt>
                <c:pt idx="9">
                  <c:v>62.38116699107471</c:v>
                </c:pt>
                <c:pt idx="10">
                  <c:v>64.7806297127398</c:v>
                </c:pt>
                <c:pt idx="11">
                  <c:v>67.18631661715946</c:v>
                </c:pt>
                <c:pt idx="12">
                  <c:v>69.59830460073684</c:v>
                </c:pt>
                <c:pt idx="13">
                  <c:v>72.0166196474625</c:v>
                </c:pt>
                <c:pt idx="14">
                  <c:v>74.44123577334586</c:v>
                </c:pt>
                <c:pt idx="15">
                  <c:v>76.87207608198379</c:v>
                </c:pt>
                <c:pt idx="16">
                  <c:v>79.30901583280631</c:v>
                </c:pt>
                <c:pt idx="17">
                  <c:v>81.75188724280842</c:v>
                </c:pt>
                <c:pt idx="18">
                  <c:v>84.20048560632887</c:v>
                </c:pt>
                <c:pt idx="19">
                  <c:v>86.65457624318353</c:v>
                </c:pt>
                <c:pt idx="20">
                  <c:v>89.11390177685682</c:v>
                </c:pt>
                <c:pt idx="21">
                  <c:v>91.57818929246801</c:v>
                </c:pt>
                <c:pt idx="22">
                  <c:v>96.52052022649701</c:v>
                </c:pt>
                <c:pt idx="23">
                  <c:v>108.9436564500563</c:v>
                </c:pt>
                <c:pt idx="24">
                  <c:v>121.4386243516816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241944"/>
        <c:axId val="607245112"/>
      </c:scatterChart>
      <c:valAx>
        <c:axId val="607241944"/>
        <c:scaling>
          <c:orientation val="minMax"/>
          <c:max val="250.0"/>
          <c:min val="5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607245112"/>
        <c:crosses val="autoZero"/>
        <c:crossBetween val="midCat"/>
      </c:valAx>
      <c:valAx>
        <c:axId val="607245112"/>
        <c:scaling>
          <c:orientation val="minMax"/>
          <c:max val="122.0"/>
          <c:min val="18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607241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53</xdr:row>
      <xdr:rowOff>12700</xdr:rowOff>
    </xdr:from>
    <xdr:to>
      <xdr:col>10</xdr:col>
      <xdr:colOff>756920</xdr:colOff>
      <xdr:row>85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10</xdr:col>
      <xdr:colOff>744220</xdr:colOff>
      <xdr:row>132</xdr:row>
      <xdr:rowOff>180340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153</xdr:row>
      <xdr:rowOff>30480</xdr:rowOff>
    </xdr:from>
    <xdr:to>
      <xdr:col>10</xdr:col>
      <xdr:colOff>500380</xdr:colOff>
      <xdr:row>185</xdr:row>
      <xdr:rowOff>17780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274320</xdr:colOff>
      <xdr:row>4</xdr:row>
      <xdr:rowOff>10160</xdr:rowOff>
    </xdr:from>
    <xdr:to>
      <xdr:col>11</xdr:col>
      <xdr:colOff>30480</xdr:colOff>
      <xdr:row>33</xdr:row>
      <xdr:rowOff>10160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206</xdr:row>
      <xdr:rowOff>30480</xdr:rowOff>
    </xdr:from>
    <xdr:to>
      <xdr:col>10</xdr:col>
      <xdr:colOff>500380</xdr:colOff>
      <xdr:row>238</xdr:row>
      <xdr:rowOff>17780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82"/>
  <sheetViews>
    <sheetView tabSelected="1" topLeftCell="A24" zoomScale="125" zoomScaleNormal="125" zoomScalePageLayoutView="125" workbookViewId="0">
      <selection activeCell="K49" sqref="K49"/>
    </sheetView>
  </sheetViews>
  <sheetFormatPr baseColWidth="10" defaultRowHeight="15" x14ac:dyDescent="0"/>
  <cols>
    <col min="1" max="1" width="3.1640625" bestFit="1" customWidth="1"/>
    <col min="2" max="2" width="17" bestFit="1" customWidth="1"/>
    <col min="3" max="3" width="18" bestFit="1" customWidth="1"/>
    <col min="4" max="4" width="19.33203125" bestFit="1" customWidth="1"/>
    <col min="5" max="5" width="27.83203125" bestFit="1" customWidth="1"/>
    <col min="6" max="6" width="18.1640625" bestFit="1" customWidth="1"/>
    <col min="7" max="7" width="19.33203125" bestFit="1" customWidth="1"/>
    <col min="8" max="8" width="14" bestFit="1" customWidth="1"/>
    <col min="9" max="9" width="14.83203125" bestFit="1" customWidth="1"/>
    <col min="10" max="10" width="10.1640625" bestFit="1" customWidth="1"/>
    <col min="11" max="11" width="14.5" bestFit="1" customWidth="1"/>
  </cols>
  <sheetData>
    <row r="1" spans="2:12" ht="16" thickBot="1"/>
    <row r="2" spans="2:12" ht="46" thickBot="1">
      <c r="B2" s="143" t="s">
        <v>36</v>
      </c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4" spans="2:12" ht="16" thickBot="1"/>
    <row r="5" spans="2:12" ht="16" thickBot="1">
      <c r="B5" s="146" t="s">
        <v>2</v>
      </c>
      <c r="C5" s="147"/>
    </row>
    <row r="6" spans="2:12" ht="16" thickBot="1">
      <c r="B6" s="107" t="s">
        <v>1</v>
      </c>
      <c r="C6" s="106" t="s">
        <v>0</v>
      </c>
    </row>
    <row r="7" spans="2:12">
      <c r="B7" s="40">
        <v>100</v>
      </c>
      <c r="C7" s="41">
        <v>45</v>
      </c>
    </row>
    <row r="8" spans="2:12">
      <c r="B8" s="42">
        <v>110</v>
      </c>
      <c r="C8" s="43">
        <v>51</v>
      </c>
    </row>
    <row r="9" spans="2:12">
      <c r="B9" s="42">
        <v>120</v>
      </c>
      <c r="C9" s="43">
        <v>54</v>
      </c>
    </row>
    <row r="10" spans="2:12">
      <c r="B10" s="42">
        <v>130</v>
      </c>
      <c r="C10" s="43">
        <v>61</v>
      </c>
    </row>
    <row r="11" spans="2:12">
      <c r="B11" s="42">
        <v>140</v>
      </c>
      <c r="C11" s="43">
        <v>66</v>
      </c>
    </row>
    <row r="12" spans="2:12">
      <c r="B12" s="42">
        <v>150</v>
      </c>
      <c r="C12" s="43">
        <v>70</v>
      </c>
    </row>
    <row r="13" spans="2:12">
      <c r="B13" s="42">
        <v>160</v>
      </c>
      <c r="C13" s="43">
        <v>74</v>
      </c>
    </row>
    <row r="14" spans="2:12">
      <c r="B14" s="42">
        <v>170</v>
      </c>
      <c r="C14" s="43">
        <v>78</v>
      </c>
    </row>
    <row r="15" spans="2:12">
      <c r="B15" s="42">
        <v>180</v>
      </c>
      <c r="C15" s="43">
        <v>85</v>
      </c>
    </row>
    <row r="16" spans="2:12" ht="16" thickBot="1">
      <c r="B16" s="44">
        <v>190</v>
      </c>
      <c r="C16" s="45">
        <v>89</v>
      </c>
    </row>
    <row r="17" spans="1:3" ht="16" thickBot="1">
      <c r="B17" s="3"/>
      <c r="C17" s="3"/>
    </row>
    <row r="18" spans="1:3" ht="16" thickBot="1">
      <c r="A18" s="48" t="s">
        <v>7</v>
      </c>
      <c r="B18" s="54" t="s">
        <v>5</v>
      </c>
      <c r="C18" s="49" t="s">
        <v>6</v>
      </c>
    </row>
    <row r="19" spans="1:3" ht="16" thickBot="1">
      <c r="A19" s="29">
        <f>COUNT(B7:B16)</f>
        <v>10</v>
      </c>
      <c r="B19" s="25">
        <f>SUM(B7:B16)/A19</f>
        <v>145</v>
      </c>
      <c r="C19" s="26">
        <f>SUM(C7:C16)/A19</f>
        <v>67.3</v>
      </c>
    </row>
    <row r="35" spans="2:12" ht="16" thickBot="1"/>
    <row r="36" spans="2:12" ht="46" thickBot="1">
      <c r="B36" s="143" t="s">
        <v>34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5"/>
    </row>
    <row r="37" spans="2:12" ht="16" thickBot="1"/>
    <row r="38" spans="2:12" ht="16" thickBot="1">
      <c r="B38" s="146" t="s">
        <v>2</v>
      </c>
      <c r="C38" s="147"/>
      <c r="F38" s="1"/>
      <c r="G38" s="9" t="s">
        <v>12</v>
      </c>
    </row>
    <row r="39" spans="2:12" ht="16" thickBot="1">
      <c r="B39" s="38" t="s">
        <v>1</v>
      </c>
      <c r="C39" s="39" t="s">
        <v>0</v>
      </c>
      <c r="D39" s="5" t="s">
        <v>8</v>
      </c>
      <c r="E39" s="10" t="s">
        <v>18</v>
      </c>
      <c r="F39" s="11" t="s">
        <v>10</v>
      </c>
      <c r="G39" s="56" t="s">
        <v>15</v>
      </c>
      <c r="H39" s="12" t="s">
        <v>14</v>
      </c>
      <c r="I39" s="13" t="s">
        <v>17</v>
      </c>
      <c r="K39" s="33" t="s">
        <v>3</v>
      </c>
      <c r="L39" s="36">
        <f>C52-B52*L40</f>
        <v>-2.739393939393949</v>
      </c>
    </row>
    <row r="40" spans="2:12" ht="16" thickBot="1">
      <c r="B40" s="40">
        <v>100</v>
      </c>
      <c r="C40" s="41">
        <v>45</v>
      </c>
      <c r="D40" s="14">
        <f>(B40-$B$52)^2</f>
        <v>2025</v>
      </c>
      <c r="E40" s="15">
        <f>(C40-$C$52)^2</f>
        <v>497.28999999999985</v>
      </c>
      <c r="F40" s="16">
        <f>(B40-$B$52)*(C40-$C$52)</f>
        <v>1003.4999999999999</v>
      </c>
      <c r="G40" s="8">
        <f>$L$39+$B40*$L$40</f>
        <v>45.563636363636355</v>
      </c>
      <c r="H40" s="17">
        <f>(G40-C40)^2</f>
        <v>0.31768595041321396</v>
      </c>
      <c r="I40" s="18">
        <f>(G40-$C$52)^2</f>
        <v>472.46950413223163</v>
      </c>
      <c r="K40" s="32" t="s">
        <v>4</v>
      </c>
      <c r="L40" s="37">
        <f>F52/D52</f>
        <v>0.48303030303030303</v>
      </c>
    </row>
    <row r="41" spans="2:12" ht="16" thickBot="1">
      <c r="B41" s="42">
        <v>110</v>
      </c>
      <c r="C41" s="43">
        <v>51</v>
      </c>
      <c r="D41" s="4">
        <f t="shared" ref="D41:D49" si="0">(B41-$B$52)^2</f>
        <v>1225</v>
      </c>
      <c r="E41" s="2">
        <f t="shared" ref="E41:E49" si="1">(C41-$C$52)^2</f>
        <v>265.68999999999988</v>
      </c>
      <c r="F41" s="6">
        <f t="shared" ref="F41:F49" si="2">(B41-$B$52)*(C41-$C$52)</f>
        <v>570.49999999999989</v>
      </c>
      <c r="G41" s="46">
        <f t="shared" ref="G41:G49" si="3">$L$39+$B41*$L$40</f>
        <v>50.393939393939384</v>
      </c>
      <c r="H41" s="7">
        <f t="shared" ref="H41:H49" si="4">(G41-C41)^2</f>
        <v>0.36730945821856137</v>
      </c>
      <c r="I41" s="19">
        <f t="shared" ref="I41:I49" si="5">(G41-$C$52)^2</f>
        <v>285.81488521579456</v>
      </c>
    </row>
    <row r="42" spans="2:12" ht="16" thickBot="1">
      <c r="B42" s="42">
        <v>120</v>
      </c>
      <c r="C42" s="43">
        <v>54</v>
      </c>
      <c r="D42" s="4">
        <f t="shared" si="0"/>
        <v>625</v>
      </c>
      <c r="E42" s="2">
        <f t="shared" si="1"/>
        <v>176.88999999999993</v>
      </c>
      <c r="F42" s="6">
        <f t="shared" si="2"/>
        <v>332.49999999999994</v>
      </c>
      <c r="G42" s="46">
        <f t="shared" si="3"/>
        <v>55.224242424242412</v>
      </c>
      <c r="H42" s="7">
        <f t="shared" si="4"/>
        <v>1.4987695133149381</v>
      </c>
      <c r="I42" s="19">
        <f t="shared" si="5"/>
        <v>145.82392102846671</v>
      </c>
      <c r="K42" s="35" t="s">
        <v>21</v>
      </c>
      <c r="L42" s="34">
        <f>H52/(A52-2)</f>
        <v>0.90303030303029808</v>
      </c>
    </row>
    <row r="43" spans="2:12">
      <c r="B43" s="42">
        <v>130</v>
      </c>
      <c r="C43" s="43">
        <v>61</v>
      </c>
      <c r="D43" s="4">
        <f t="shared" si="0"/>
        <v>225</v>
      </c>
      <c r="E43" s="2">
        <f t="shared" si="1"/>
        <v>39.689999999999962</v>
      </c>
      <c r="F43" s="6">
        <f t="shared" si="2"/>
        <v>94.499999999999957</v>
      </c>
      <c r="G43" s="46">
        <f t="shared" si="3"/>
        <v>60.054545454545448</v>
      </c>
      <c r="H43" s="7">
        <f t="shared" si="4"/>
        <v>0.89388429752067433</v>
      </c>
      <c r="I43" s="19">
        <f t="shared" si="5"/>
        <v>52.496611570247993</v>
      </c>
    </row>
    <row r="44" spans="2:12">
      <c r="B44" s="42">
        <v>140</v>
      </c>
      <c r="C44" s="43">
        <v>66</v>
      </c>
      <c r="D44" s="4">
        <f t="shared" si="0"/>
        <v>25</v>
      </c>
      <c r="E44" s="2">
        <f t="shared" si="1"/>
        <v>1.6899999999999926</v>
      </c>
      <c r="F44" s="6">
        <f t="shared" si="2"/>
        <v>6.4999999999999858</v>
      </c>
      <c r="G44" s="46">
        <f t="shared" si="3"/>
        <v>64.884848484848476</v>
      </c>
      <c r="H44" s="7">
        <f t="shared" si="4"/>
        <v>1.2435629017447398</v>
      </c>
      <c r="I44" s="19">
        <f t="shared" si="5"/>
        <v>5.8329568411386887</v>
      </c>
    </row>
    <row r="45" spans="2:12">
      <c r="B45" s="42">
        <v>150</v>
      </c>
      <c r="C45" s="43">
        <v>70</v>
      </c>
      <c r="D45" s="4">
        <f t="shared" si="0"/>
        <v>25</v>
      </c>
      <c r="E45" s="2">
        <f t="shared" si="1"/>
        <v>7.2900000000000151</v>
      </c>
      <c r="F45" s="6">
        <f t="shared" si="2"/>
        <v>13.500000000000014</v>
      </c>
      <c r="G45" s="46">
        <f t="shared" si="3"/>
        <v>69.715151515151504</v>
      </c>
      <c r="H45" s="7">
        <f t="shared" si="4"/>
        <v>8.1138659320483739E-2</v>
      </c>
      <c r="I45" s="19">
        <f t="shared" si="5"/>
        <v>5.8329568411386203</v>
      </c>
    </row>
    <row r="46" spans="2:12">
      <c r="B46" s="42">
        <v>160</v>
      </c>
      <c r="C46" s="43">
        <v>74</v>
      </c>
      <c r="D46" s="4">
        <f t="shared" si="0"/>
        <v>225</v>
      </c>
      <c r="E46" s="2">
        <f t="shared" si="1"/>
        <v>44.890000000000036</v>
      </c>
      <c r="F46" s="6">
        <f t="shared" si="2"/>
        <v>100.50000000000004</v>
      </c>
      <c r="G46" s="46">
        <f t="shared" si="3"/>
        <v>74.545454545454533</v>
      </c>
      <c r="H46" s="7">
        <f t="shared" si="4"/>
        <v>0.2975206611570107</v>
      </c>
      <c r="I46" s="19">
        <f t="shared" si="5"/>
        <v>52.496611570247786</v>
      </c>
    </row>
    <row r="47" spans="2:12">
      <c r="B47" s="42">
        <v>170</v>
      </c>
      <c r="C47" s="43">
        <v>78</v>
      </c>
      <c r="D47" s="4">
        <f t="shared" si="0"/>
        <v>625</v>
      </c>
      <c r="E47" s="2">
        <f t="shared" si="1"/>
        <v>114.49000000000007</v>
      </c>
      <c r="F47" s="6">
        <f t="shared" si="2"/>
        <v>267.50000000000006</v>
      </c>
      <c r="G47" s="46">
        <f t="shared" si="3"/>
        <v>79.375757575757561</v>
      </c>
      <c r="H47" s="7">
        <f t="shared" si="4"/>
        <v>1.8927089072543208</v>
      </c>
      <c r="I47" s="19">
        <f t="shared" si="5"/>
        <v>145.8239210284662</v>
      </c>
    </row>
    <row r="48" spans="2:12">
      <c r="B48" s="42">
        <v>180</v>
      </c>
      <c r="C48" s="43">
        <v>85</v>
      </c>
      <c r="D48" s="4">
        <f t="shared" si="0"/>
        <v>1225</v>
      </c>
      <c r="E48" s="2">
        <f t="shared" si="1"/>
        <v>313.29000000000008</v>
      </c>
      <c r="F48" s="6">
        <f t="shared" si="2"/>
        <v>619.50000000000011</v>
      </c>
      <c r="G48" s="46">
        <f t="shared" si="3"/>
        <v>84.206060606060603</v>
      </c>
      <c r="H48" s="7">
        <f t="shared" si="4"/>
        <v>0.63033976124885638</v>
      </c>
      <c r="I48" s="19">
        <f t="shared" si="5"/>
        <v>285.81488521579433</v>
      </c>
    </row>
    <row r="49" spans="1:13" ht="16" thickBot="1">
      <c r="B49" s="44">
        <v>190</v>
      </c>
      <c r="C49" s="45">
        <v>89</v>
      </c>
      <c r="D49" s="20">
        <f t="shared" si="0"/>
        <v>2025</v>
      </c>
      <c r="E49" s="21">
        <f t="shared" si="1"/>
        <v>470.8900000000001</v>
      </c>
      <c r="F49" s="22">
        <f t="shared" si="2"/>
        <v>976.50000000000011</v>
      </c>
      <c r="G49" s="47">
        <f t="shared" si="3"/>
        <v>89.036363636363632</v>
      </c>
      <c r="H49" s="23">
        <f t="shared" si="4"/>
        <v>1.3223140495864387E-3</v>
      </c>
      <c r="I49" s="24">
        <f t="shared" si="5"/>
        <v>472.46950413223135</v>
      </c>
    </row>
    <row r="50" spans="1:13" ht="16" thickBot="1">
      <c r="B50" s="3"/>
      <c r="C50" s="3"/>
      <c r="D50" s="1"/>
      <c r="E50" s="1"/>
      <c r="F50" s="1"/>
    </row>
    <row r="51" spans="1:13" ht="16" thickBot="1">
      <c r="A51" s="48" t="s">
        <v>7</v>
      </c>
      <c r="B51" s="38" t="s">
        <v>5</v>
      </c>
      <c r="C51" s="49" t="s">
        <v>6</v>
      </c>
      <c r="D51" s="50" t="s">
        <v>9</v>
      </c>
      <c r="E51" s="50" t="s">
        <v>19</v>
      </c>
      <c r="F51" s="51" t="s">
        <v>11</v>
      </c>
      <c r="G51" s="52"/>
      <c r="H51" s="53" t="s">
        <v>13</v>
      </c>
      <c r="I51" s="50" t="s">
        <v>16</v>
      </c>
      <c r="J51" s="51" t="s">
        <v>20</v>
      </c>
      <c r="L51" s="56" t="s">
        <v>38</v>
      </c>
      <c r="M51" s="56" t="s">
        <v>39</v>
      </c>
    </row>
    <row r="52" spans="1:13" ht="16" thickBot="1">
      <c r="A52" s="29">
        <f>COUNT(B40:B49)</f>
        <v>10</v>
      </c>
      <c r="B52" s="25">
        <f>SUM(B40:B49)/A52</f>
        <v>145</v>
      </c>
      <c r="C52" s="26">
        <f>SUM(C40:C49)/A52</f>
        <v>67.3</v>
      </c>
      <c r="D52" s="26">
        <f>SUM(D40:D49)</f>
        <v>8250</v>
      </c>
      <c r="E52" s="26">
        <f>SUM(E40:E49)</f>
        <v>1932.0999999999997</v>
      </c>
      <c r="F52" s="30">
        <f>SUM(F40:F49)</f>
        <v>3985</v>
      </c>
      <c r="G52" s="31"/>
      <c r="H52" s="32">
        <f>SUM(H40:H49)</f>
        <v>7.2242424242423846</v>
      </c>
      <c r="I52" s="27">
        <f>SUM(I40:I49)</f>
        <v>1924.8757575757579</v>
      </c>
      <c r="J52" s="28">
        <f>H52+I52</f>
        <v>1932.1000000000004</v>
      </c>
      <c r="L52" s="120">
        <f>I52/E52</f>
        <v>0.99626093762008083</v>
      </c>
      <c r="M52" s="120">
        <f>F52/SQRT(D52*E52)</f>
        <v>0.99812871796180713</v>
      </c>
    </row>
    <row r="53" spans="1:13">
      <c r="F53" s="1"/>
    </row>
    <row r="94" spans="2:12" ht="16" thickBot="1"/>
    <row r="95" spans="2:12" ht="46" thickBot="1">
      <c r="B95" s="143" t="s">
        <v>33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5"/>
    </row>
    <row r="96" spans="2:12" ht="16" thickBot="1"/>
    <row r="97" spans="2:12">
      <c r="B97" s="57" t="s">
        <v>22</v>
      </c>
      <c r="C97" s="58">
        <v>0.05</v>
      </c>
      <c r="E97" s="61" t="s">
        <v>28</v>
      </c>
      <c r="F97" s="62">
        <f>L39</f>
        <v>-2.739393939393949</v>
      </c>
      <c r="G97" s="63" t="s">
        <v>26</v>
      </c>
      <c r="H97" s="18">
        <f>C100*SQRT(L42*((1/A52)+(B52^2/D52)))</f>
        <v>3.5662352648434679</v>
      </c>
      <c r="J97" s="67" t="s">
        <v>27</v>
      </c>
      <c r="K97" s="70">
        <f>F97-H97</f>
        <v>-6.3056292042374169</v>
      </c>
      <c r="L97" s="67">
        <f>F97+H97</f>
        <v>0.82684132544951883</v>
      </c>
    </row>
    <row r="98" spans="2:12" ht="16" thickBot="1">
      <c r="B98" s="59" t="s">
        <v>23</v>
      </c>
      <c r="C98" s="19">
        <f>C97/2</f>
        <v>2.5000000000000001E-2</v>
      </c>
      <c r="E98" s="64" t="s">
        <v>29</v>
      </c>
      <c r="F98" s="65">
        <f>L40</f>
        <v>0.48303030303030303</v>
      </c>
      <c r="G98" s="66" t="s">
        <v>26</v>
      </c>
      <c r="H98" s="24">
        <f>C100*SQRT(L42/D52)</f>
        <v>2.4125941453003178E-2</v>
      </c>
      <c r="J98" s="68" t="s">
        <v>30</v>
      </c>
      <c r="K98" s="71">
        <f>F98-H98</f>
        <v>0.45890436157729986</v>
      </c>
      <c r="L98" s="72">
        <f>F98+H98</f>
        <v>0.50715624448330621</v>
      </c>
    </row>
    <row r="99" spans="2:12" ht="16" thickBot="1">
      <c r="B99" s="59" t="s">
        <v>24</v>
      </c>
      <c r="C99" s="19">
        <f>$A$52-2</f>
        <v>8</v>
      </c>
      <c r="J99" s="55"/>
      <c r="K99" s="69" t="s">
        <v>31</v>
      </c>
      <c r="L99" s="73" t="s">
        <v>32</v>
      </c>
    </row>
    <row r="100" spans="2:12" ht="16" thickBot="1">
      <c r="B100" s="60" t="s">
        <v>25</v>
      </c>
      <c r="C100" s="86">
        <f>-_xlfn.T.INV(C98,C99)</f>
        <v>2.3060041352041671</v>
      </c>
    </row>
    <row r="134" spans="2:6" ht="16" thickBot="1"/>
    <row r="135" spans="2:6" ht="16" thickBot="1">
      <c r="B135" s="74" t="s">
        <v>1</v>
      </c>
      <c r="C135" s="75" t="s">
        <v>0</v>
      </c>
      <c r="D135" s="76" t="s">
        <v>15</v>
      </c>
      <c r="E135" s="76" t="s">
        <v>31</v>
      </c>
      <c r="F135" s="76" t="s">
        <v>32</v>
      </c>
    </row>
    <row r="136" spans="2:6">
      <c r="B136" s="77">
        <v>100</v>
      </c>
      <c r="C136" s="78">
        <v>45</v>
      </c>
      <c r="D136" s="79">
        <f>$L$39+$B136*$L$40</f>
        <v>45.563636363636355</v>
      </c>
      <c r="E136" s="79">
        <f>$K$97+$B136*$K$98</f>
        <v>39.584806953492567</v>
      </c>
      <c r="F136" s="79">
        <f>$L$97+$L$98*$B136</f>
        <v>51.542465773780144</v>
      </c>
    </row>
    <row r="137" spans="2:6">
      <c r="B137" s="80">
        <v>110</v>
      </c>
      <c r="C137" s="81">
        <v>51</v>
      </c>
      <c r="D137" s="82">
        <f t="shared" ref="D137:D145" si="6">$L$39+$B137*$L$40</f>
        <v>50.393939393939384</v>
      </c>
      <c r="E137" s="82">
        <f t="shared" ref="E137:E145" si="7">$K$97+$B137*$K$98</f>
        <v>44.173850569265568</v>
      </c>
      <c r="F137" s="82">
        <f t="shared" ref="F137:F145" si="8">$L$97+$L$98*$B137</f>
        <v>56.614028218613207</v>
      </c>
    </row>
    <row r="138" spans="2:6">
      <c r="B138" s="80">
        <v>120</v>
      </c>
      <c r="C138" s="81">
        <v>54</v>
      </c>
      <c r="D138" s="82">
        <f t="shared" si="6"/>
        <v>55.224242424242412</v>
      </c>
      <c r="E138" s="82">
        <f t="shared" si="7"/>
        <v>48.762894185038562</v>
      </c>
      <c r="F138" s="82">
        <f t="shared" si="8"/>
        <v>61.685590663446263</v>
      </c>
    </row>
    <row r="139" spans="2:6">
      <c r="B139" s="80">
        <v>130</v>
      </c>
      <c r="C139" s="81">
        <v>61</v>
      </c>
      <c r="D139" s="82">
        <f t="shared" si="6"/>
        <v>60.054545454545448</v>
      </c>
      <c r="E139" s="82">
        <f t="shared" si="7"/>
        <v>53.351937800811562</v>
      </c>
      <c r="F139" s="82">
        <f t="shared" si="8"/>
        <v>66.757153108279326</v>
      </c>
    </row>
    <row r="140" spans="2:6">
      <c r="B140" s="80">
        <v>140</v>
      </c>
      <c r="C140" s="81">
        <v>66</v>
      </c>
      <c r="D140" s="82">
        <f t="shared" si="6"/>
        <v>64.884848484848476</v>
      </c>
      <c r="E140" s="82">
        <f t="shared" si="7"/>
        <v>57.940981416584563</v>
      </c>
      <c r="F140" s="82">
        <f t="shared" si="8"/>
        <v>71.828715553112389</v>
      </c>
    </row>
    <row r="141" spans="2:6">
      <c r="B141" s="80">
        <v>150</v>
      </c>
      <c r="C141" s="81">
        <v>70</v>
      </c>
      <c r="D141" s="82">
        <f t="shared" si="6"/>
        <v>69.715151515151504</v>
      </c>
      <c r="E141" s="82">
        <f t="shared" si="7"/>
        <v>62.530025032357557</v>
      </c>
      <c r="F141" s="82">
        <f t="shared" si="8"/>
        <v>76.900277997945452</v>
      </c>
    </row>
    <row r="142" spans="2:6">
      <c r="B142" s="80">
        <v>160</v>
      </c>
      <c r="C142" s="81">
        <v>74</v>
      </c>
      <c r="D142" s="82">
        <f t="shared" si="6"/>
        <v>74.545454545454533</v>
      </c>
      <c r="E142" s="82">
        <f t="shared" si="7"/>
        <v>67.119068648130565</v>
      </c>
      <c r="F142" s="82">
        <f t="shared" si="8"/>
        <v>81.971840442778515</v>
      </c>
    </row>
    <row r="143" spans="2:6">
      <c r="B143" s="80">
        <v>170</v>
      </c>
      <c r="C143" s="81">
        <v>78</v>
      </c>
      <c r="D143" s="82">
        <f t="shared" si="6"/>
        <v>79.375757575757561</v>
      </c>
      <c r="E143" s="82">
        <f t="shared" si="7"/>
        <v>71.708112263903558</v>
      </c>
      <c r="F143" s="82">
        <f t="shared" si="8"/>
        <v>87.043402887611578</v>
      </c>
    </row>
    <row r="144" spans="2:6">
      <c r="B144" s="80">
        <v>180</v>
      </c>
      <c r="C144" s="81">
        <v>85</v>
      </c>
      <c r="D144" s="82">
        <f t="shared" si="6"/>
        <v>84.206060606060603</v>
      </c>
      <c r="E144" s="82">
        <f t="shared" si="7"/>
        <v>76.297155879676552</v>
      </c>
      <c r="F144" s="82">
        <f t="shared" si="8"/>
        <v>92.11496533244464</v>
      </c>
    </row>
    <row r="145" spans="2:12" ht="16" thickBot="1">
      <c r="B145" s="83">
        <v>190</v>
      </c>
      <c r="C145" s="84">
        <v>89</v>
      </c>
      <c r="D145" s="85">
        <f t="shared" si="6"/>
        <v>89.036363636363632</v>
      </c>
      <c r="E145" s="85">
        <f t="shared" si="7"/>
        <v>80.88619949544956</v>
      </c>
      <c r="F145" s="85">
        <f t="shared" si="8"/>
        <v>97.186527777277703</v>
      </c>
    </row>
    <row r="146" spans="2:12" ht="16" thickBot="1"/>
    <row r="147" spans="2:12" ht="46" thickBot="1">
      <c r="B147" s="143" t="s">
        <v>35</v>
      </c>
      <c r="C147" s="144"/>
      <c r="D147" s="144"/>
      <c r="E147" s="144"/>
      <c r="F147" s="144"/>
      <c r="G147" s="144"/>
      <c r="H147" s="144"/>
      <c r="I147" s="144"/>
      <c r="J147" s="144"/>
      <c r="K147" s="144"/>
      <c r="L147" s="145"/>
    </row>
    <row r="148" spans="2:12" ht="16" thickBot="1"/>
    <row r="149" spans="2:12">
      <c r="B149" s="57" t="s">
        <v>22</v>
      </c>
      <c r="C149" s="58">
        <v>0.05</v>
      </c>
      <c r="E149" s="87"/>
      <c r="F149" s="88"/>
      <c r="G149" s="89"/>
      <c r="H149" s="88"/>
      <c r="I149" s="88"/>
      <c r="J149" s="87"/>
      <c r="K149" s="87"/>
      <c r="L149" s="87"/>
    </row>
    <row r="150" spans="2:12">
      <c r="B150" s="59" t="s">
        <v>23</v>
      </c>
      <c r="C150" s="19">
        <f>C149/2</f>
        <v>2.5000000000000001E-2</v>
      </c>
      <c r="E150" s="87"/>
      <c r="F150" s="88"/>
      <c r="G150" s="89"/>
      <c r="H150" s="88"/>
      <c r="I150" s="88"/>
      <c r="J150" s="87"/>
      <c r="K150" s="87"/>
      <c r="L150" s="87"/>
    </row>
    <row r="151" spans="2:12">
      <c r="B151" s="59" t="s">
        <v>24</v>
      </c>
      <c r="C151" s="19">
        <f>$A$52-2</f>
        <v>8</v>
      </c>
      <c r="E151" s="88"/>
      <c r="F151" s="88"/>
      <c r="G151" s="88"/>
      <c r="H151" s="88"/>
      <c r="I151" s="88"/>
      <c r="J151" s="87"/>
      <c r="K151" s="87"/>
      <c r="L151" s="87"/>
    </row>
    <row r="152" spans="2:12" ht="16" thickBot="1">
      <c r="B152" s="60" t="s">
        <v>25</v>
      </c>
      <c r="C152" s="86">
        <f>-_xlfn.T.INV(C150,C151)</f>
        <v>2.3060041352041671</v>
      </c>
    </row>
    <row r="186" spans="2:7" ht="16" thickBot="1"/>
    <row r="187" spans="2:7" ht="16" thickBot="1">
      <c r="B187" s="74" t="s">
        <v>1</v>
      </c>
      <c r="C187" s="75" t="s">
        <v>0</v>
      </c>
      <c r="D187" s="93" t="s">
        <v>15</v>
      </c>
      <c r="E187" s="97" t="s">
        <v>26</v>
      </c>
      <c r="F187" s="99" t="s">
        <v>31</v>
      </c>
      <c r="G187" s="98" t="s">
        <v>32</v>
      </c>
    </row>
    <row r="188" spans="2:7">
      <c r="B188" s="77">
        <v>100</v>
      </c>
      <c r="C188" s="78">
        <v>45</v>
      </c>
      <c r="D188" s="90">
        <f>$L$39+$B188*$L$40</f>
        <v>45.563636363636355</v>
      </c>
      <c r="E188" s="96">
        <f>$C$152*SQRT($L$42*((1/$A$52)+(B188-$B$52)^2/$D$52))</f>
        <v>1.2879728239882047</v>
      </c>
      <c r="F188" s="100">
        <f>D188-E188</f>
        <v>44.27566353964815</v>
      </c>
      <c r="G188" s="102">
        <f>D188+E188</f>
        <v>46.851609187624561</v>
      </c>
    </row>
    <row r="189" spans="2:7">
      <c r="B189" s="80">
        <v>110</v>
      </c>
      <c r="C189" s="81">
        <v>51</v>
      </c>
      <c r="D189" s="91">
        <f t="shared" ref="D189:D197" si="9">$L$39+$B189*$L$40</f>
        <v>50.393939393939384</v>
      </c>
      <c r="E189" s="94">
        <f t="shared" ref="E189:E197" si="10">$C$152*SQRT($L$42*((1/$A$52)+(B189-$B$52)^2/$D$52))</f>
        <v>1.0923484583854923</v>
      </c>
      <c r="F189" s="101">
        <f t="shared" ref="F189:F197" si="11">D189-E189</f>
        <v>49.301590935553889</v>
      </c>
      <c r="G189" s="103">
        <f t="shared" ref="G189:G197" si="12">D189+E189</f>
        <v>51.486287852324878</v>
      </c>
    </row>
    <row r="190" spans="2:7">
      <c r="B190" s="80">
        <v>120</v>
      </c>
      <c r="C190" s="81">
        <v>54</v>
      </c>
      <c r="D190" s="91">
        <f t="shared" si="9"/>
        <v>55.224242424242412</v>
      </c>
      <c r="E190" s="94">
        <f t="shared" si="10"/>
        <v>0.91868848035714423</v>
      </c>
      <c r="F190" s="101">
        <f t="shared" si="11"/>
        <v>54.305553943885265</v>
      </c>
      <c r="G190" s="103">
        <f t="shared" si="12"/>
        <v>56.142930904599559</v>
      </c>
    </row>
    <row r="191" spans="2:7">
      <c r="B191" s="80">
        <v>130</v>
      </c>
      <c r="C191" s="81">
        <v>61</v>
      </c>
      <c r="D191" s="91">
        <f t="shared" si="9"/>
        <v>60.054545454545448</v>
      </c>
      <c r="E191" s="94">
        <f t="shared" si="10"/>
        <v>0.78176985330941495</v>
      </c>
      <c r="F191" s="101">
        <f t="shared" si="11"/>
        <v>59.272775601236035</v>
      </c>
      <c r="G191" s="103">
        <f t="shared" si="12"/>
        <v>60.836315307854861</v>
      </c>
    </row>
    <row r="192" spans="2:7">
      <c r="B192" s="80">
        <v>140</v>
      </c>
      <c r="C192" s="81">
        <v>66</v>
      </c>
      <c r="D192" s="91">
        <f t="shared" si="9"/>
        <v>64.884848484848476</v>
      </c>
      <c r="E192" s="94">
        <f t="shared" si="10"/>
        <v>0.70338602015157836</v>
      </c>
      <c r="F192" s="101">
        <f t="shared" si="11"/>
        <v>64.181462464696892</v>
      </c>
      <c r="G192" s="103">
        <f t="shared" si="12"/>
        <v>65.588234505000059</v>
      </c>
    </row>
    <row r="193" spans="2:12">
      <c r="B193" s="80">
        <v>150</v>
      </c>
      <c r="C193" s="81">
        <v>70</v>
      </c>
      <c r="D193" s="91">
        <f t="shared" si="9"/>
        <v>69.715151515151504</v>
      </c>
      <c r="E193" s="94">
        <f t="shared" si="10"/>
        <v>0.70338602015157836</v>
      </c>
      <c r="F193" s="101">
        <f t="shared" si="11"/>
        <v>69.011765494999921</v>
      </c>
      <c r="G193" s="103">
        <f t="shared" si="12"/>
        <v>70.418537535303088</v>
      </c>
    </row>
    <row r="194" spans="2:12">
      <c r="B194" s="80">
        <v>160</v>
      </c>
      <c r="C194" s="81">
        <v>74</v>
      </c>
      <c r="D194" s="91">
        <f t="shared" si="9"/>
        <v>74.545454545454533</v>
      </c>
      <c r="E194" s="94">
        <f t="shared" si="10"/>
        <v>0.78176985330941495</v>
      </c>
      <c r="F194" s="101">
        <f t="shared" si="11"/>
        <v>73.763684692145119</v>
      </c>
      <c r="G194" s="103">
        <f t="shared" si="12"/>
        <v>75.327224398763946</v>
      </c>
    </row>
    <row r="195" spans="2:12">
      <c r="B195" s="80">
        <v>170</v>
      </c>
      <c r="C195" s="81">
        <v>78</v>
      </c>
      <c r="D195" s="91">
        <f t="shared" si="9"/>
        <v>79.375757575757561</v>
      </c>
      <c r="E195" s="94">
        <f t="shared" si="10"/>
        <v>0.91868848035714423</v>
      </c>
      <c r="F195" s="101">
        <f t="shared" si="11"/>
        <v>78.457069095400414</v>
      </c>
      <c r="G195" s="103">
        <f t="shared" si="12"/>
        <v>80.294446056114708</v>
      </c>
    </row>
    <row r="196" spans="2:12">
      <c r="B196" s="80">
        <v>180</v>
      </c>
      <c r="C196" s="81">
        <v>85</v>
      </c>
      <c r="D196" s="91">
        <f t="shared" si="9"/>
        <v>84.206060606060603</v>
      </c>
      <c r="E196" s="94">
        <f t="shared" si="10"/>
        <v>1.0923484583854923</v>
      </c>
      <c r="F196" s="101">
        <f t="shared" si="11"/>
        <v>83.113712147675116</v>
      </c>
      <c r="G196" s="103">
        <f t="shared" si="12"/>
        <v>85.298409064446091</v>
      </c>
    </row>
    <row r="197" spans="2:12" ht="16" thickBot="1">
      <c r="B197" s="83">
        <v>190</v>
      </c>
      <c r="C197" s="84">
        <v>89</v>
      </c>
      <c r="D197" s="92">
        <f t="shared" si="9"/>
        <v>89.036363636363632</v>
      </c>
      <c r="E197" s="95">
        <f t="shared" si="10"/>
        <v>1.2879728239882047</v>
      </c>
      <c r="F197" s="105">
        <f t="shared" si="11"/>
        <v>87.748390812375433</v>
      </c>
      <c r="G197" s="104">
        <f t="shared" si="12"/>
        <v>90.32433646035183</v>
      </c>
    </row>
    <row r="199" spans="2:12" ht="16" thickBot="1"/>
    <row r="200" spans="2:12" ht="46" thickBot="1">
      <c r="B200" s="143" t="s">
        <v>37</v>
      </c>
      <c r="C200" s="144"/>
      <c r="D200" s="144"/>
      <c r="E200" s="144"/>
      <c r="F200" s="144"/>
      <c r="G200" s="144"/>
      <c r="H200" s="144"/>
      <c r="I200" s="144"/>
      <c r="J200" s="144"/>
      <c r="K200" s="144"/>
      <c r="L200" s="145"/>
    </row>
    <row r="201" spans="2:12" ht="16" thickBot="1"/>
    <row r="202" spans="2:12">
      <c r="B202" s="57" t="s">
        <v>22</v>
      </c>
      <c r="C202" s="58">
        <v>0.05</v>
      </c>
      <c r="E202" s="87"/>
      <c r="F202" s="88"/>
      <c r="G202" s="89"/>
      <c r="H202" s="88"/>
      <c r="I202" s="88"/>
      <c r="J202" s="87"/>
      <c r="K202" s="87"/>
      <c r="L202" s="87"/>
    </row>
    <row r="203" spans="2:12">
      <c r="B203" s="59" t="s">
        <v>23</v>
      </c>
      <c r="C203" s="19">
        <f>C202/2</f>
        <v>2.5000000000000001E-2</v>
      </c>
      <c r="E203" s="87"/>
      <c r="F203" s="88"/>
      <c r="G203" s="89"/>
      <c r="H203" s="88"/>
      <c r="I203" s="88"/>
      <c r="J203" s="87"/>
      <c r="K203" s="87"/>
      <c r="L203" s="87"/>
    </row>
    <row r="204" spans="2:12">
      <c r="B204" s="59" t="s">
        <v>24</v>
      </c>
      <c r="C204" s="19">
        <f>$A$52-2</f>
        <v>8</v>
      </c>
      <c r="E204" s="88"/>
      <c r="F204" s="88"/>
      <c r="G204" s="88"/>
      <c r="H204" s="88"/>
      <c r="I204" s="88"/>
      <c r="J204" s="87"/>
      <c r="K204" s="87"/>
      <c r="L204" s="87"/>
    </row>
    <row r="205" spans="2:12" ht="16" thickBot="1">
      <c r="B205" s="60" t="s">
        <v>25</v>
      </c>
      <c r="C205" s="86">
        <f>-_xlfn.T.INV(C203,C204)</f>
        <v>2.3060041352041671</v>
      </c>
    </row>
    <row r="239" spans="2:7" ht="16" thickBot="1"/>
    <row r="240" spans="2:7" ht="16" thickBot="1">
      <c r="B240" s="108" t="s">
        <v>1</v>
      </c>
      <c r="C240" s="111" t="s">
        <v>0</v>
      </c>
      <c r="D240" s="99" t="s">
        <v>15</v>
      </c>
      <c r="E240" s="97" t="s">
        <v>26</v>
      </c>
      <c r="F240" s="99" t="s">
        <v>31</v>
      </c>
      <c r="G240" s="98" t="s">
        <v>32</v>
      </c>
    </row>
    <row r="241" spans="2:7">
      <c r="B241" s="90">
        <v>50</v>
      </c>
      <c r="C241" s="79"/>
      <c r="D241" s="116">
        <f>$L$39+$B241*$L$40</f>
        <v>21.412121212121203</v>
      </c>
      <c r="E241" s="117">
        <f t="shared" ref="E241:E265" si="13">$C$205*SQRT($L$42*(1+(1/$A$52)+(B241-$B$52)^2/$D$52))</f>
        <v>3.2458134609041607</v>
      </c>
      <c r="F241" s="118">
        <f t="shared" ref="F241:F243" si="14">D241-E241</f>
        <v>18.166307751217044</v>
      </c>
      <c r="G241" s="119">
        <f t="shared" ref="G241:G243" si="15">D241+E241</f>
        <v>24.657934673025363</v>
      </c>
    </row>
    <row r="242" spans="2:7">
      <c r="B242" s="91">
        <v>75</v>
      </c>
      <c r="C242" s="82"/>
      <c r="D242" s="114">
        <f t="shared" ref="D242:D265" si="16">$L$39+$B242*$L$40</f>
        <v>33.487878787878778</v>
      </c>
      <c r="E242" s="94">
        <f t="shared" si="13"/>
        <v>2.8520699829487839</v>
      </c>
      <c r="F242" s="101">
        <f t="shared" si="14"/>
        <v>30.635808804929994</v>
      </c>
      <c r="G242" s="103">
        <f t="shared" si="15"/>
        <v>36.339948770827561</v>
      </c>
    </row>
    <row r="243" spans="2:7">
      <c r="B243" s="91">
        <v>95</v>
      </c>
      <c r="C243" s="82"/>
      <c r="D243" s="114">
        <f t="shared" si="16"/>
        <v>43.148484848484841</v>
      </c>
      <c r="E243" s="94">
        <f t="shared" si="13"/>
        <v>2.5956418599746205</v>
      </c>
      <c r="F243" s="101">
        <f t="shared" si="14"/>
        <v>40.552842988510221</v>
      </c>
      <c r="G243" s="103">
        <f t="shared" si="15"/>
        <v>45.744126708459461</v>
      </c>
    </row>
    <row r="244" spans="2:7">
      <c r="B244" s="91">
        <v>100</v>
      </c>
      <c r="C244" s="82">
        <v>45</v>
      </c>
      <c r="D244" s="114">
        <f t="shared" si="16"/>
        <v>45.563636363636355</v>
      </c>
      <c r="E244" s="94">
        <f>$C$205*SQRT($L$42*(1+(1/$A$52)+(B244-$B$52)^2/$D$52))</f>
        <v>2.5418256561043839</v>
      </c>
      <c r="F244" s="101">
        <f>D244-E244</f>
        <v>43.021810707531969</v>
      </c>
      <c r="G244" s="103">
        <f>D244+E244</f>
        <v>48.105462019740742</v>
      </c>
    </row>
    <row r="245" spans="2:7">
      <c r="B245" s="91">
        <v>105</v>
      </c>
      <c r="C245" s="82"/>
      <c r="D245" s="114">
        <f t="shared" si="16"/>
        <v>47.97878787878787</v>
      </c>
      <c r="E245" s="94">
        <f t="shared" si="13"/>
        <v>2.4926896556447105</v>
      </c>
      <c r="F245" s="101">
        <f t="shared" ref="F245:F265" si="17">D245-E245</f>
        <v>45.486098223143159</v>
      </c>
      <c r="G245" s="103">
        <f t="shared" ref="G245:G265" si="18">D245+E245</f>
        <v>50.47147753443258</v>
      </c>
    </row>
    <row r="246" spans="2:7">
      <c r="B246" s="91">
        <v>110</v>
      </c>
      <c r="C246" s="82">
        <v>51</v>
      </c>
      <c r="D246" s="114">
        <f t="shared" si="16"/>
        <v>50.393939393939384</v>
      </c>
      <c r="E246" s="94">
        <f t="shared" si="13"/>
        <v>2.4485156371229269</v>
      </c>
      <c r="F246" s="101">
        <f t="shared" si="17"/>
        <v>47.94542375681646</v>
      </c>
      <c r="G246" s="103">
        <f t="shared" si="18"/>
        <v>52.842455031062308</v>
      </c>
    </row>
    <row r="247" spans="2:7">
      <c r="B247" s="91">
        <v>115</v>
      </c>
      <c r="C247" s="82"/>
      <c r="D247" s="114">
        <f t="shared" si="16"/>
        <v>52.809090909090898</v>
      </c>
      <c r="E247" s="94">
        <f t="shared" si="13"/>
        <v>2.4095765154197801</v>
      </c>
      <c r="F247" s="101">
        <f t="shared" si="17"/>
        <v>50.399514393671119</v>
      </c>
      <c r="G247" s="103">
        <f t="shared" si="18"/>
        <v>55.218667424510677</v>
      </c>
    </row>
    <row r="248" spans="2:7">
      <c r="B248" s="91">
        <v>120</v>
      </c>
      <c r="C248" s="82">
        <v>54</v>
      </c>
      <c r="D248" s="114">
        <f t="shared" si="16"/>
        <v>55.224242424242412</v>
      </c>
      <c r="E248" s="94">
        <f t="shared" si="13"/>
        <v>2.376129667050864</v>
      </c>
      <c r="F248" s="101">
        <f t="shared" si="17"/>
        <v>52.848112757191551</v>
      </c>
      <c r="G248" s="103">
        <f t="shared" si="18"/>
        <v>57.600372091293274</v>
      </c>
    </row>
    <row r="249" spans="2:7">
      <c r="B249" s="91">
        <v>125</v>
      </c>
      <c r="C249" s="82"/>
      <c r="D249" s="114">
        <f t="shared" si="16"/>
        <v>57.639393939393933</v>
      </c>
      <c r="E249" s="94">
        <f t="shared" si="13"/>
        <v>2.3484097722002568</v>
      </c>
      <c r="F249" s="101">
        <f t="shared" si="17"/>
        <v>55.290984167193677</v>
      </c>
      <c r="G249" s="103">
        <f t="shared" si="18"/>
        <v>59.987803711594189</v>
      </c>
    </row>
    <row r="250" spans="2:7">
      <c r="B250" s="91">
        <v>130</v>
      </c>
      <c r="C250" s="82">
        <v>61</v>
      </c>
      <c r="D250" s="114">
        <f t="shared" si="16"/>
        <v>60.054545454545448</v>
      </c>
      <c r="E250" s="94">
        <f t="shared" si="13"/>
        <v>2.326621536529256</v>
      </c>
      <c r="F250" s="101">
        <f t="shared" si="17"/>
        <v>57.727923918016188</v>
      </c>
      <c r="G250" s="103">
        <f t="shared" si="18"/>
        <v>62.381166991074707</v>
      </c>
    </row>
    <row r="251" spans="2:7">
      <c r="B251" s="91">
        <v>135</v>
      </c>
      <c r="C251" s="82"/>
      <c r="D251" s="114">
        <f t="shared" si="16"/>
        <v>62.469696969696955</v>
      </c>
      <c r="E251" s="94">
        <f t="shared" si="13"/>
        <v>2.3109327430428475</v>
      </c>
      <c r="F251" s="101">
        <f t="shared" si="17"/>
        <v>60.158764226654107</v>
      </c>
      <c r="G251" s="103">
        <f t="shared" si="18"/>
        <v>64.780629712739795</v>
      </c>
    </row>
    <row r="252" spans="2:7">
      <c r="B252" s="91">
        <v>140</v>
      </c>
      <c r="C252" s="82">
        <v>66</v>
      </c>
      <c r="D252" s="114">
        <f t="shared" si="16"/>
        <v>64.884848484848476</v>
      </c>
      <c r="E252" s="94">
        <f t="shared" si="13"/>
        <v>2.3014681323109838</v>
      </c>
      <c r="F252" s="101">
        <f t="shared" si="17"/>
        <v>62.583380352537489</v>
      </c>
      <c r="G252" s="103">
        <f t="shared" si="18"/>
        <v>67.186316617159463</v>
      </c>
    </row>
    <row r="253" spans="2:7">
      <c r="B253" s="91">
        <v>145</v>
      </c>
      <c r="C253" s="82"/>
      <c r="D253" s="114">
        <f t="shared" si="16"/>
        <v>67.3</v>
      </c>
      <c r="E253" s="94">
        <f t="shared" si="13"/>
        <v>2.2983046007368486</v>
      </c>
      <c r="F253" s="101">
        <f t="shared" si="17"/>
        <v>65.001695399263156</v>
      </c>
      <c r="G253" s="103">
        <f t="shared" si="18"/>
        <v>69.598304600736839</v>
      </c>
    </row>
    <row r="254" spans="2:7">
      <c r="B254" s="91">
        <v>150</v>
      </c>
      <c r="C254" s="82">
        <v>70</v>
      </c>
      <c r="D254" s="114">
        <f t="shared" si="16"/>
        <v>69.715151515151504</v>
      </c>
      <c r="E254" s="94">
        <f t="shared" si="13"/>
        <v>2.3014681323109838</v>
      </c>
      <c r="F254" s="101">
        <f t="shared" si="17"/>
        <v>67.413683382840517</v>
      </c>
      <c r="G254" s="103">
        <f t="shared" si="18"/>
        <v>72.016619647462491</v>
      </c>
    </row>
    <row r="255" spans="2:7">
      <c r="B255" s="91">
        <v>155</v>
      </c>
      <c r="C255" s="82"/>
      <c r="D255" s="114">
        <f t="shared" si="16"/>
        <v>72.130303030303025</v>
      </c>
      <c r="E255" s="94">
        <f t="shared" si="13"/>
        <v>2.3109327430428475</v>
      </c>
      <c r="F255" s="101">
        <f t="shared" si="17"/>
        <v>69.819370287260185</v>
      </c>
      <c r="G255" s="103">
        <f t="shared" si="18"/>
        <v>74.441235773345866</v>
      </c>
    </row>
    <row r="256" spans="2:7">
      <c r="B256" s="91">
        <v>160</v>
      </c>
      <c r="C256" s="82">
        <v>74</v>
      </c>
      <c r="D256" s="114">
        <f t="shared" si="16"/>
        <v>74.545454545454533</v>
      </c>
      <c r="E256" s="94">
        <f t="shared" si="13"/>
        <v>2.326621536529256</v>
      </c>
      <c r="F256" s="101">
        <f t="shared" si="17"/>
        <v>72.218833008925273</v>
      </c>
      <c r="G256" s="103">
        <f t="shared" si="18"/>
        <v>76.872076081983792</v>
      </c>
    </row>
    <row r="257" spans="2:12">
      <c r="B257" s="91">
        <v>165</v>
      </c>
      <c r="C257" s="82"/>
      <c r="D257" s="114">
        <f t="shared" si="16"/>
        <v>76.960606060606054</v>
      </c>
      <c r="E257" s="94">
        <f t="shared" si="13"/>
        <v>2.3484097722002568</v>
      </c>
      <c r="F257" s="101">
        <f t="shared" si="17"/>
        <v>74.612196288405798</v>
      </c>
      <c r="G257" s="103">
        <f t="shared" si="18"/>
        <v>79.30901583280631</v>
      </c>
    </row>
    <row r="258" spans="2:12">
      <c r="B258" s="91">
        <v>170</v>
      </c>
      <c r="C258" s="82">
        <v>78</v>
      </c>
      <c r="D258" s="114">
        <f t="shared" si="16"/>
        <v>79.375757575757561</v>
      </c>
      <c r="E258" s="94">
        <f t="shared" si="13"/>
        <v>2.376129667050864</v>
      </c>
      <c r="F258" s="101">
        <f t="shared" si="17"/>
        <v>76.999627908706699</v>
      </c>
      <c r="G258" s="103">
        <f t="shared" si="18"/>
        <v>81.751887242808422</v>
      </c>
    </row>
    <row r="259" spans="2:12">
      <c r="B259" s="91">
        <v>175</v>
      </c>
      <c r="C259" s="82"/>
      <c r="D259" s="114">
        <f t="shared" si="16"/>
        <v>81.790909090909082</v>
      </c>
      <c r="E259" s="94">
        <f t="shared" si="13"/>
        <v>2.4095765154197801</v>
      </c>
      <c r="F259" s="101">
        <f t="shared" si="17"/>
        <v>79.381332575489296</v>
      </c>
      <c r="G259" s="103">
        <f t="shared" si="18"/>
        <v>84.200485606328868</v>
      </c>
    </row>
    <row r="260" spans="2:12">
      <c r="B260" s="91">
        <v>180</v>
      </c>
      <c r="C260" s="82">
        <v>85</v>
      </c>
      <c r="D260" s="114">
        <f t="shared" si="16"/>
        <v>84.206060606060603</v>
      </c>
      <c r="E260" s="94">
        <f t="shared" si="13"/>
        <v>2.4485156371229269</v>
      </c>
      <c r="F260" s="101">
        <f t="shared" si="17"/>
        <v>81.75754496893768</v>
      </c>
      <c r="G260" s="103">
        <f t="shared" si="18"/>
        <v>86.654576243183527</v>
      </c>
    </row>
    <row r="261" spans="2:12">
      <c r="B261" s="91">
        <v>185</v>
      </c>
      <c r="C261" s="82"/>
      <c r="D261" s="114">
        <f t="shared" si="16"/>
        <v>86.62121212121211</v>
      </c>
      <c r="E261" s="94">
        <f t="shared" si="13"/>
        <v>2.4926896556447105</v>
      </c>
      <c r="F261" s="101">
        <f t="shared" si="17"/>
        <v>84.1285224655674</v>
      </c>
      <c r="G261" s="103">
        <f t="shared" si="18"/>
        <v>89.113901776856821</v>
      </c>
    </row>
    <row r="262" spans="2:12">
      <c r="B262" s="91">
        <v>190</v>
      </c>
      <c r="C262" s="82">
        <v>89</v>
      </c>
      <c r="D262" s="114">
        <f t="shared" si="16"/>
        <v>89.036363636363632</v>
      </c>
      <c r="E262" s="94">
        <f t="shared" si="13"/>
        <v>2.5418256561043839</v>
      </c>
      <c r="F262" s="101">
        <f t="shared" si="17"/>
        <v>86.494537980259253</v>
      </c>
      <c r="G262" s="103">
        <f t="shared" si="18"/>
        <v>91.578189292468011</v>
      </c>
    </row>
    <row r="263" spans="2:12">
      <c r="B263" s="109">
        <v>200</v>
      </c>
      <c r="C263" s="112"/>
      <c r="D263" s="114">
        <f t="shared" si="16"/>
        <v>93.86666666666666</v>
      </c>
      <c r="E263" s="94">
        <f t="shared" si="13"/>
        <v>2.6538535598303499</v>
      </c>
      <c r="F263" s="101">
        <f t="shared" si="17"/>
        <v>91.212813106836307</v>
      </c>
      <c r="G263" s="103">
        <f t="shared" si="18"/>
        <v>96.520520226497013</v>
      </c>
    </row>
    <row r="264" spans="2:12">
      <c r="B264" s="109">
        <v>225</v>
      </c>
      <c r="C264" s="112"/>
      <c r="D264" s="114">
        <f t="shared" si="16"/>
        <v>105.94242424242424</v>
      </c>
      <c r="E264" s="94">
        <f t="shared" si="13"/>
        <v>3.0012322076320728</v>
      </c>
      <c r="F264" s="101">
        <f t="shared" si="17"/>
        <v>102.94119203479217</v>
      </c>
      <c r="G264" s="103">
        <f t="shared" si="18"/>
        <v>108.94365645005631</v>
      </c>
    </row>
    <row r="265" spans="2:12" ht="16" thickBot="1">
      <c r="B265" s="110">
        <v>250</v>
      </c>
      <c r="C265" s="113"/>
      <c r="D265" s="115">
        <f t="shared" si="16"/>
        <v>118.01818181818182</v>
      </c>
      <c r="E265" s="95">
        <f t="shared" si="13"/>
        <v>3.4204425334997399</v>
      </c>
      <c r="F265" s="105">
        <f t="shared" si="17"/>
        <v>114.59773928468208</v>
      </c>
      <c r="G265" s="104">
        <f t="shared" si="18"/>
        <v>121.43862435168155</v>
      </c>
    </row>
    <row r="267" spans="2:12" ht="16" thickBot="1"/>
    <row r="268" spans="2:12" ht="46" thickBot="1">
      <c r="B268" s="143" t="s">
        <v>40</v>
      </c>
      <c r="C268" s="144"/>
      <c r="D268" s="144"/>
      <c r="E268" s="144"/>
      <c r="F268" s="144"/>
      <c r="G268" s="144"/>
      <c r="H268" s="144"/>
      <c r="I268" s="144"/>
      <c r="J268" s="144"/>
      <c r="K268" s="144"/>
      <c r="L268" s="145"/>
    </row>
    <row r="270" spans="2:12" ht="16" thickBot="1"/>
    <row r="271" spans="2:12" ht="16" thickBot="1">
      <c r="B271" s="125" t="s">
        <v>41</v>
      </c>
      <c r="C271" s="129" t="s">
        <v>45</v>
      </c>
      <c r="D271" s="133" t="s">
        <v>46</v>
      </c>
      <c r="E271" s="129" t="s">
        <v>47</v>
      </c>
      <c r="F271" s="137" t="s">
        <v>48</v>
      </c>
    </row>
    <row r="272" spans="2:12" ht="16" thickBot="1">
      <c r="B272" s="126" t="s">
        <v>42</v>
      </c>
      <c r="C272" s="130">
        <f>I52</f>
        <v>1924.8757575757579</v>
      </c>
      <c r="D272" s="134">
        <v>1</v>
      </c>
      <c r="E272" s="130">
        <f>C272/D272</f>
        <v>1924.8757575757579</v>
      </c>
      <c r="F272" s="140">
        <f>E272/E273</f>
        <v>2131.573825503368</v>
      </c>
    </row>
    <row r="273" spans="2:7" ht="16" thickBot="1">
      <c r="B273" s="127" t="s">
        <v>43</v>
      </c>
      <c r="C273" s="131">
        <f>H52</f>
        <v>7.2242424242423846</v>
      </c>
      <c r="D273" s="135">
        <f>A19-2</f>
        <v>8</v>
      </c>
      <c r="E273" s="132">
        <f>C273/D273</f>
        <v>0.90303030303029808</v>
      </c>
      <c r="F273" s="139"/>
    </row>
    <row r="274" spans="2:7" ht="16" thickBot="1">
      <c r="B274" s="128" t="s">
        <v>44</v>
      </c>
      <c r="C274" s="132">
        <f>E52</f>
        <v>1932.0999999999997</v>
      </c>
      <c r="D274" s="136">
        <f>A19-1</f>
        <v>9</v>
      </c>
      <c r="E274" s="138"/>
      <c r="F274" s="3"/>
    </row>
    <row r="276" spans="2:7" ht="16" thickBot="1">
      <c r="G276" s="88"/>
    </row>
    <row r="277" spans="2:7">
      <c r="B277" s="141" t="s">
        <v>22</v>
      </c>
      <c r="C277" s="15" t="s">
        <v>24</v>
      </c>
      <c r="D277" s="15" t="s">
        <v>50</v>
      </c>
      <c r="E277" s="121" t="s">
        <v>51</v>
      </c>
    </row>
    <row r="278" spans="2:7" ht="16" thickBot="1">
      <c r="B278" s="122">
        <v>0.05</v>
      </c>
      <c r="C278" s="21">
        <f>A19-2</f>
        <v>8</v>
      </c>
      <c r="D278" s="123">
        <f>F272</f>
        <v>2131.573825503368</v>
      </c>
      <c r="E278" s="124">
        <f>FDIST(D278,1,C278)</f>
        <v>5.3525347257390099E-11</v>
      </c>
    </row>
    <row r="280" spans="2:7">
      <c r="E280" t="s">
        <v>49</v>
      </c>
    </row>
    <row r="282" spans="2:7">
      <c r="C282" s="142"/>
    </row>
  </sheetData>
  <mergeCells count="8">
    <mergeCell ref="B268:L268"/>
    <mergeCell ref="B2:L2"/>
    <mergeCell ref="B5:C5"/>
    <mergeCell ref="B200:L200"/>
    <mergeCell ref="B38:C38"/>
    <mergeCell ref="B95:L95"/>
    <mergeCell ref="B36:L36"/>
    <mergeCell ref="B147:L147"/>
  </mergeCells>
  <phoneticPr fontId="5" type="noConversion"/>
  <pageMargins left="0.75000000000000011" right="0.75000000000000011" top="1" bottom="1" header="0.5" footer="0.5"/>
  <pageSetup scale="42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École Polytechnique de Montréal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Le Digabel</dc:creator>
  <cp:lastModifiedBy>Sébastien Le Digabel</cp:lastModifiedBy>
  <cp:lastPrinted>2012-03-26T00:48:49Z</cp:lastPrinted>
  <dcterms:created xsi:type="dcterms:W3CDTF">2012-03-24T18:09:22Z</dcterms:created>
  <dcterms:modified xsi:type="dcterms:W3CDTF">2012-11-20T15:30:05Z</dcterms:modified>
</cp:coreProperties>
</file>